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120" yWindow="75" windowWidth="20340" windowHeight="7155"/>
  </bookViews>
  <sheets>
    <sheet name="T10" sheetId="1" r:id="rId1"/>
  </sheets>
  <externalReferences>
    <externalReference r:id="rId2"/>
  </externalReferences>
  <definedNames>
    <definedName name="_xlnm._FilterDatabase" localSheetId="0" hidden="1">'T10'!$A$7:$AA$69</definedName>
    <definedName name="_xlnm.Print_Titles" localSheetId="0">'T10'!$5:$7</definedName>
  </definedNames>
  <calcPr calcId="144525" fullCalcOnLoad="1"/>
</workbook>
</file>

<file path=xl/calcChain.xml><?xml version="1.0" encoding="utf-8"?>
<calcChain xmlns="http://schemas.openxmlformats.org/spreadsheetml/2006/main">
  <c r="W118" i="1" l="1"/>
  <c r="V118" i="1"/>
  <c r="U118" i="1"/>
  <c r="R118" i="1"/>
  <c r="T118" i="1" s="1"/>
  <c r="X118" i="1" s="1"/>
  <c r="P118" i="1"/>
  <c r="N118" i="1"/>
  <c r="L118" i="1"/>
  <c r="J118" i="1"/>
  <c r="G118" i="1"/>
  <c r="H118" i="1" s="1"/>
  <c r="F118" i="1"/>
  <c r="W117" i="1"/>
  <c r="V117" i="1"/>
  <c r="U117" i="1"/>
  <c r="R117" i="1"/>
  <c r="P117" i="1"/>
  <c r="N117" i="1"/>
  <c r="L117" i="1"/>
  <c r="T117" i="1" s="1"/>
  <c r="X117" i="1" s="1"/>
  <c r="J117" i="1"/>
  <c r="H117" i="1"/>
  <c r="G117" i="1"/>
  <c r="F117" i="1"/>
  <c r="W116" i="1"/>
  <c r="V116" i="1"/>
  <c r="U116" i="1"/>
  <c r="R116" i="1"/>
  <c r="T116" i="1" s="1"/>
  <c r="X116" i="1" s="1"/>
  <c r="P116" i="1"/>
  <c r="N116" i="1"/>
  <c r="L116" i="1"/>
  <c r="J116" i="1"/>
  <c r="G116" i="1"/>
  <c r="H116" i="1" s="1"/>
  <c r="F116" i="1"/>
  <c r="Q65" i="1"/>
  <c r="Q68" i="1" s="1"/>
  <c r="Q69" i="1" s="1"/>
  <c r="M65" i="1"/>
  <c r="M68" i="1" s="1"/>
  <c r="M69" i="1" s="1"/>
  <c r="K65" i="1"/>
  <c r="K68" i="1" s="1"/>
  <c r="K69" i="1" s="1"/>
  <c r="I65" i="1"/>
  <c r="I68" i="1" s="1"/>
  <c r="I69" i="1" s="1"/>
  <c r="E65" i="1"/>
  <c r="E68" i="1" s="1"/>
  <c r="E69" i="1" s="1"/>
  <c r="W64" i="1"/>
  <c r="V64" i="1"/>
  <c r="U64" i="1"/>
  <c r="R64" i="1"/>
  <c r="P64" i="1"/>
  <c r="N64" i="1"/>
  <c r="L64" i="1"/>
  <c r="T64" i="1" s="1"/>
  <c r="X64" i="1" s="1"/>
  <c r="J64" i="1"/>
  <c r="H64" i="1"/>
  <c r="G64" i="1"/>
  <c r="F64" i="1"/>
  <c r="W63" i="1"/>
  <c r="V63" i="1"/>
  <c r="U63" i="1"/>
  <c r="R63" i="1"/>
  <c r="P63" i="1"/>
  <c r="N63" i="1"/>
  <c r="L63" i="1"/>
  <c r="J63" i="1"/>
  <c r="G63" i="1"/>
  <c r="H63" i="1" s="1"/>
  <c r="F63" i="1"/>
  <c r="W62" i="1"/>
  <c r="V62" i="1"/>
  <c r="U62" i="1"/>
  <c r="R62" i="1"/>
  <c r="P62" i="1"/>
  <c r="N62" i="1"/>
  <c r="L62" i="1"/>
  <c r="T62" i="1" s="1"/>
  <c r="X62" i="1" s="1"/>
  <c r="J62" i="1"/>
  <c r="H62" i="1"/>
  <c r="G62" i="1"/>
  <c r="F62" i="1"/>
  <c r="W61" i="1"/>
  <c r="V61" i="1"/>
  <c r="U61" i="1"/>
  <c r="R61" i="1"/>
  <c r="T61" i="1" s="1"/>
  <c r="X61" i="1" s="1"/>
  <c r="P61" i="1"/>
  <c r="N61" i="1"/>
  <c r="L61" i="1"/>
  <c r="J61" i="1"/>
  <c r="G61" i="1"/>
  <c r="H61" i="1" s="1"/>
  <c r="F61" i="1"/>
  <c r="W60" i="1"/>
  <c r="V60" i="1"/>
  <c r="U60" i="1"/>
  <c r="S60" i="1"/>
  <c r="R60" i="1"/>
  <c r="P60" i="1"/>
  <c r="N60" i="1"/>
  <c r="L60" i="1"/>
  <c r="J60" i="1"/>
  <c r="G60" i="1"/>
  <c r="H60" i="1" s="1"/>
  <c r="F60" i="1"/>
  <c r="W59" i="1"/>
  <c r="V59" i="1"/>
  <c r="U59" i="1"/>
  <c r="R59" i="1"/>
  <c r="P59" i="1"/>
  <c r="N59" i="1"/>
  <c r="L59" i="1"/>
  <c r="T59" i="1" s="1"/>
  <c r="X59" i="1" s="1"/>
  <c r="J59" i="1"/>
  <c r="H59" i="1"/>
  <c r="G59" i="1"/>
  <c r="F59" i="1"/>
  <c r="W58" i="1"/>
  <c r="V58" i="1"/>
  <c r="U58" i="1"/>
  <c r="R58" i="1"/>
  <c r="T58" i="1" s="1"/>
  <c r="X58" i="1" s="1"/>
  <c r="P58" i="1"/>
  <c r="N58" i="1"/>
  <c r="L58" i="1"/>
  <c r="J58" i="1"/>
  <c r="G58" i="1"/>
  <c r="H58" i="1" s="1"/>
  <c r="F58" i="1"/>
  <c r="W57" i="1"/>
  <c r="V57" i="1"/>
  <c r="U57" i="1"/>
  <c r="R57" i="1"/>
  <c r="P57" i="1"/>
  <c r="N57" i="1"/>
  <c r="L57" i="1"/>
  <c r="T57" i="1" s="1"/>
  <c r="X57" i="1" s="1"/>
  <c r="J57" i="1"/>
  <c r="H57" i="1"/>
  <c r="G57" i="1"/>
  <c r="F57" i="1"/>
  <c r="W56" i="1"/>
  <c r="V56" i="1"/>
  <c r="U56" i="1"/>
  <c r="R56" i="1"/>
  <c r="T56" i="1" s="1"/>
  <c r="X56" i="1" s="1"/>
  <c r="P56" i="1"/>
  <c r="N56" i="1"/>
  <c r="L56" i="1"/>
  <c r="J56" i="1"/>
  <c r="G56" i="1"/>
  <c r="H56" i="1" s="1"/>
  <c r="F56" i="1"/>
  <c r="W55" i="1"/>
  <c r="V55" i="1"/>
  <c r="U55" i="1"/>
  <c r="R55" i="1"/>
  <c r="P55" i="1"/>
  <c r="N55" i="1"/>
  <c r="L55" i="1"/>
  <c r="T55" i="1" s="1"/>
  <c r="X55" i="1" s="1"/>
  <c r="J55" i="1"/>
  <c r="H55" i="1"/>
  <c r="G55" i="1"/>
  <c r="F55" i="1"/>
  <c r="W54" i="1"/>
  <c r="V54" i="1"/>
  <c r="U54" i="1"/>
  <c r="R54" i="1"/>
  <c r="P54" i="1"/>
  <c r="N54" i="1"/>
  <c r="L54" i="1"/>
  <c r="J54" i="1"/>
  <c r="G54" i="1"/>
  <c r="H54" i="1" s="1"/>
  <c r="F54" i="1"/>
  <c r="W53" i="1"/>
  <c r="V53" i="1"/>
  <c r="U53" i="1"/>
  <c r="R53" i="1"/>
  <c r="P53" i="1"/>
  <c r="N53" i="1"/>
  <c r="L53" i="1"/>
  <c r="T53" i="1" s="1"/>
  <c r="X53" i="1" s="1"/>
  <c r="J53" i="1"/>
  <c r="H53" i="1"/>
  <c r="G53" i="1"/>
  <c r="F53" i="1"/>
  <c r="W52" i="1"/>
  <c r="V52" i="1"/>
  <c r="U52" i="1"/>
  <c r="R52" i="1"/>
  <c r="T52" i="1" s="1"/>
  <c r="X52" i="1" s="1"/>
  <c r="P52" i="1"/>
  <c r="N52" i="1"/>
  <c r="L52" i="1"/>
  <c r="J52" i="1"/>
  <c r="H52" i="1"/>
  <c r="F52" i="1"/>
  <c r="W51" i="1"/>
  <c r="V51" i="1"/>
  <c r="U51" i="1"/>
  <c r="R51" i="1"/>
  <c r="T51" i="1" s="1"/>
  <c r="X51" i="1" s="1"/>
  <c r="P51" i="1"/>
  <c r="N51" i="1"/>
  <c r="L51" i="1"/>
  <c r="J51" i="1"/>
  <c r="G51" i="1"/>
  <c r="H51" i="1" s="1"/>
  <c r="F51" i="1"/>
  <c r="W50" i="1"/>
  <c r="V50" i="1"/>
  <c r="U50" i="1"/>
  <c r="R50" i="1"/>
  <c r="P50" i="1"/>
  <c r="N50" i="1"/>
  <c r="L50" i="1"/>
  <c r="T50" i="1" s="1"/>
  <c r="X50" i="1" s="1"/>
  <c r="J50" i="1"/>
  <c r="H50" i="1"/>
  <c r="G50" i="1"/>
  <c r="F50" i="1"/>
  <c r="W49" i="1"/>
  <c r="V49" i="1"/>
  <c r="U49" i="1"/>
  <c r="S49" i="1"/>
  <c r="R49" i="1"/>
  <c r="P49" i="1"/>
  <c r="N49" i="1"/>
  <c r="T49" i="1" s="1"/>
  <c r="X49" i="1" s="1"/>
  <c r="L49" i="1"/>
  <c r="J49" i="1"/>
  <c r="H49" i="1"/>
  <c r="G49" i="1"/>
  <c r="F49" i="1"/>
  <c r="W48" i="1"/>
  <c r="V48" i="1"/>
  <c r="U48" i="1"/>
  <c r="S48" i="1"/>
  <c r="R48" i="1"/>
  <c r="N48" i="1"/>
  <c r="L48" i="1"/>
  <c r="J48" i="1"/>
  <c r="G48" i="1"/>
  <c r="H48" i="1" s="1"/>
  <c r="F48" i="1"/>
  <c r="W47" i="1"/>
  <c r="V47" i="1"/>
  <c r="U47" i="1"/>
  <c r="R47" i="1"/>
  <c r="P47" i="1"/>
  <c r="N47" i="1"/>
  <c r="L47" i="1"/>
  <c r="T47" i="1" s="1"/>
  <c r="X47" i="1" s="1"/>
  <c r="J47" i="1"/>
  <c r="H47" i="1"/>
  <c r="G47" i="1"/>
  <c r="F47" i="1"/>
  <c r="W46" i="1"/>
  <c r="V46" i="1"/>
  <c r="U46" i="1"/>
  <c r="R46" i="1"/>
  <c r="P46" i="1"/>
  <c r="N46" i="1"/>
  <c r="L46" i="1"/>
  <c r="J46" i="1"/>
  <c r="G46" i="1"/>
  <c r="H46" i="1" s="1"/>
  <c r="F46" i="1"/>
  <c r="W45" i="1"/>
  <c r="V45" i="1"/>
  <c r="U45" i="1"/>
  <c r="R45" i="1"/>
  <c r="P45" i="1"/>
  <c r="N45" i="1"/>
  <c r="L45" i="1"/>
  <c r="T45" i="1" s="1"/>
  <c r="X45" i="1" s="1"/>
  <c r="J45" i="1"/>
  <c r="H45" i="1"/>
  <c r="G45" i="1"/>
  <c r="F45" i="1"/>
  <c r="W44" i="1"/>
  <c r="V44" i="1"/>
  <c r="U44" i="1"/>
  <c r="R44" i="1"/>
  <c r="P44" i="1"/>
  <c r="N44" i="1"/>
  <c r="L44" i="1"/>
  <c r="J44" i="1"/>
  <c r="G44" i="1"/>
  <c r="H44" i="1" s="1"/>
  <c r="F44" i="1"/>
  <c r="W43" i="1"/>
  <c r="V43" i="1"/>
  <c r="U43" i="1"/>
  <c r="R43" i="1"/>
  <c r="P43" i="1"/>
  <c r="N43" i="1"/>
  <c r="L43" i="1"/>
  <c r="T43" i="1" s="1"/>
  <c r="X43" i="1" s="1"/>
  <c r="J43" i="1"/>
  <c r="H43" i="1"/>
  <c r="F43" i="1"/>
  <c r="W42" i="1"/>
  <c r="V42" i="1"/>
  <c r="U42" i="1"/>
  <c r="R42" i="1"/>
  <c r="P42" i="1"/>
  <c r="N42" i="1"/>
  <c r="L42" i="1"/>
  <c r="T42" i="1" s="1"/>
  <c r="X42" i="1" s="1"/>
  <c r="J42" i="1"/>
  <c r="H42" i="1"/>
  <c r="G42" i="1"/>
  <c r="F42" i="1"/>
  <c r="W41" i="1"/>
  <c r="V41" i="1"/>
  <c r="U41" i="1"/>
  <c r="R41" i="1"/>
  <c r="P41" i="1"/>
  <c r="N41" i="1"/>
  <c r="L41" i="1"/>
  <c r="J41" i="1"/>
  <c r="G41" i="1"/>
  <c r="H41" i="1" s="1"/>
  <c r="F41" i="1"/>
  <c r="AA40" i="1"/>
  <c r="W40" i="1"/>
  <c r="V40" i="1"/>
  <c r="U40" i="1"/>
  <c r="R40" i="1"/>
  <c r="P40" i="1"/>
  <c r="N40" i="1"/>
  <c r="L40" i="1"/>
  <c r="T40" i="1" s="1"/>
  <c r="J40" i="1"/>
  <c r="H40" i="1"/>
  <c r="F40" i="1"/>
  <c r="W39" i="1"/>
  <c r="V39" i="1"/>
  <c r="U39" i="1"/>
  <c r="R39" i="1"/>
  <c r="P39" i="1"/>
  <c r="N39" i="1"/>
  <c r="L39" i="1"/>
  <c r="T39" i="1" s="1"/>
  <c r="X39" i="1" s="1"/>
  <c r="J39" i="1"/>
  <c r="H39" i="1"/>
  <c r="G39" i="1"/>
  <c r="F39" i="1"/>
  <c r="W38" i="1"/>
  <c r="V38" i="1"/>
  <c r="U38" i="1"/>
  <c r="R38" i="1"/>
  <c r="P38" i="1"/>
  <c r="N38" i="1"/>
  <c r="L38" i="1"/>
  <c r="J38" i="1"/>
  <c r="G38" i="1"/>
  <c r="H38" i="1" s="1"/>
  <c r="F38" i="1"/>
  <c r="W37" i="1"/>
  <c r="V37" i="1"/>
  <c r="U37" i="1"/>
  <c r="R37" i="1"/>
  <c r="P37" i="1"/>
  <c r="N37" i="1"/>
  <c r="L37" i="1"/>
  <c r="T37" i="1" s="1"/>
  <c r="X37" i="1" s="1"/>
  <c r="J37" i="1"/>
  <c r="H37" i="1"/>
  <c r="G37" i="1"/>
  <c r="F37" i="1"/>
  <c r="W36" i="1"/>
  <c r="V36" i="1"/>
  <c r="U36" i="1"/>
  <c r="R36" i="1"/>
  <c r="P36" i="1"/>
  <c r="N36" i="1"/>
  <c r="L36" i="1"/>
  <c r="J36" i="1"/>
  <c r="G36" i="1"/>
  <c r="H36" i="1" s="1"/>
  <c r="F36" i="1"/>
  <c r="W35" i="1"/>
  <c r="V35" i="1"/>
  <c r="U35" i="1"/>
  <c r="R35" i="1"/>
  <c r="P35" i="1"/>
  <c r="N35" i="1"/>
  <c r="L35" i="1"/>
  <c r="T35" i="1" s="1"/>
  <c r="X35" i="1" s="1"/>
  <c r="J35" i="1"/>
  <c r="H35" i="1"/>
  <c r="G35" i="1"/>
  <c r="F35" i="1"/>
  <c r="W34" i="1"/>
  <c r="V34" i="1"/>
  <c r="U34" i="1"/>
  <c r="R34" i="1"/>
  <c r="T34" i="1" s="1"/>
  <c r="X34" i="1" s="1"/>
  <c r="P34" i="1"/>
  <c r="N34" i="1"/>
  <c r="L34" i="1"/>
  <c r="J34" i="1"/>
  <c r="G34" i="1"/>
  <c r="H34" i="1" s="1"/>
  <c r="F34" i="1"/>
  <c r="W33" i="1"/>
  <c r="V33" i="1"/>
  <c r="U33" i="1"/>
  <c r="R33" i="1"/>
  <c r="P33" i="1"/>
  <c r="N33" i="1"/>
  <c r="L33" i="1"/>
  <c r="T33" i="1" s="1"/>
  <c r="X33" i="1" s="1"/>
  <c r="J33" i="1"/>
  <c r="H33" i="1"/>
  <c r="G33" i="1"/>
  <c r="F33" i="1"/>
  <c r="AB32" i="1"/>
  <c r="S32" i="1"/>
  <c r="R32" i="1"/>
  <c r="O32" i="1"/>
  <c r="N32" i="1"/>
  <c r="L32" i="1"/>
  <c r="J32" i="1"/>
  <c r="F32" i="1"/>
  <c r="W31" i="1"/>
  <c r="V31" i="1"/>
  <c r="U31" i="1"/>
  <c r="R31" i="1"/>
  <c r="P31" i="1"/>
  <c r="N31" i="1"/>
  <c r="L31" i="1"/>
  <c r="J31" i="1"/>
  <c r="G31" i="1"/>
  <c r="H31" i="1" s="1"/>
  <c r="F31" i="1"/>
  <c r="W30" i="1"/>
  <c r="V30" i="1"/>
  <c r="U30" i="1"/>
  <c r="R30" i="1"/>
  <c r="P30" i="1"/>
  <c r="N30" i="1"/>
  <c r="L30" i="1"/>
  <c r="T30" i="1" s="1"/>
  <c r="X30" i="1" s="1"/>
  <c r="J30" i="1"/>
  <c r="H30" i="1"/>
  <c r="G30" i="1"/>
  <c r="F30" i="1"/>
  <c r="W29" i="1"/>
  <c r="V29" i="1"/>
  <c r="U29" i="1"/>
  <c r="R29" i="1"/>
  <c r="P29" i="1"/>
  <c r="N29" i="1"/>
  <c r="L29" i="1"/>
  <c r="J29" i="1"/>
  <c r="G29" i="1"/>
  <c r="H29" i="1" s="1"/>
  <c r="F29" i="1"/>
  <c r="W28" i="1"/>
  <c r="V28" i="1"/>
  <c r="U28" i="1"/>
  <c r="R28" i="1"/>
  <c r="P28" i="1"/>
  <c r="N28" i="1"/>
  <c r="L28" i="1"/>
  <c r="T28" i="1" s="1"/>
  <c r="X28" i="1" s="1"/>
  <c r="J28" i="1"/>
  <c r="H28" i="1"/>
  <c r="G28" i="1"/>
  <c r="F28" i="1"/>
  <c r="W27" i="1"/>
  <c r="V27" i="1"/>
  <c r="U27" i="1"/>
  <c r="R27" i="1"/>
  <c r="P27" i="1"/>
  <c r="N27" i="1"/>
  <c r="L27" i="1"/>
  <c r="J27" i="1"/>
  <c r="G27" i="1"/>
  <c r="H27" i="1" s="1"/>
  <c r="F27" i="1"/>
  <c r="W26" i="1"/>
  <c r="V26" i="1"/>
  <c r="U26" i="1"/>
  <c r="R26" i="1"/>
  <c r="P26" i="1"/>
  <c r="N26" i="1"/>
  <c r="L26" i="1"/>
  <c r="T26" i="1" s="1"/>
  <c r="X26" i="1" s="1"/>
  <c r="J26" i="1"/>
  <c r="H26" i="1"/>
  <c r="G26" i="1"/>
  <c r="F26" i="1"/>
  <c r="W25" i="1"/>
  <c r="V25" i="1"/>
  <c r="U25" i="1"/>
  <c r="R25" i="1"/>
  <c r="T25" i="1" s="1"/>
  <c r="X25" i="1" s="1"/>
  <c r="P25" i="1"/>
  <c r="N25" i="1"/>
  <c r="L25" i="1"/>
  <c r="J25" i="1"/>
  <c r="G25" i="1"/>
  <c r="H25" i="1" s="1"/>
  <c r="F25" i="1"/>
  <c r="W24" i="1"/>
  <c r="V24" i="1"/>
  <c r="U24" i="1"/>
  <c r="R24" i="1"/>
  <c r="P24" i="1"/>
  <c r="N24" i="1"/>
  <c r="L24" i="1"/>
  <c r="T24" i="1" s="1"/>
  <c r="X24" i="1" s="1"/>
  <c r="J24" i="1"/>
  <c r="H24" i="1"/>
  <c r="G24" i="1"/>
  <c r="F24" i="1"/>
  <c r="W23" i="1"/>
  <c r="V23" i="1"/>
  <c r="U23" i="1"/>
  <c r="R23" i="1"/>
  <c r="P23" i="1"/>
  <c r="N23" i="1"/>
  <c r="L23" i="1"/>
  <c r="J23" i="1"/>
  <c r="G23" i="1"/>
  <c r="H23" i="1" s="1"/>
  <c r="F23" i="1"/>
  <c r="W22" i="1"/>
  <c r="V22" i="1"/>
  <c r="U22" i="1"/>
  <c r="S22" i="1"/>
  <c r="S65" i="1" s="1"/>
  <c r="S68" i="1" s="1"/>
  <c r="S69" i="1" s="1"/>
  <c r="R22" i="1"/>
  <c r="P22" i="1"/>
  <c r="N22" i="1"/>
  <c r="L22" i="1"/>
  <c r="J22" i="1"/>
  <c r="H22" i="1"/>
  <c r="G22" i="1"/>
  <c r="F22" i="1"/>
  <c r="W21" i="1"/>
  <c r="V21" i="1"/>
  <c r="U21" i="1"/>
  <c r="R21" i="1"/>
  <c r="P21" i="1"/>
  <c r="N21" i="1"/>
  <c r="L21" i="1"/>
  <c r="J21" i="1"/>
  <c r="G21" i="1"/>
  <c r="H21" i="1" s="1"/>
  <c r="F21" i="1"/>
  <c r="W20" i="1"/>
  <c r="V20" i="1"/>
  <c r="U20" i="1"/>
  <c r="R20" i="1"/>
  <c r="P20" i="1"/>
  <c r="N20" i="1"/>
  <c r="L20" i="1"/>
  <c r="T20" i="1" s="1"/>
  <c r="X20" i="1" s="1"/>
  <c r="J20" i="1"/>
  <c r="H20" i="1"/>
  <c r="G20" i="1"/>
  <c r="F20" i="1"/>
  <c r="W19" i="1"/>
  <c r="V19" i="1"/>
  <c r="U19" i="1"/>
  <c r="R19" i="1"/>
  <c r="P19" i="1"/>
  <c r="N19" i="1"/>
  <c r="L19" i="1"/>
  <c r="J19" i="1"/>
  <c r="G19" i="1"/>
  <c r="H19" i="1" s="1"/>
  <c r="F19" i="1"/>
  <c r="W18" i="1"/>
  <c r="V18" i="1"/>
  <c r="U18" i="1"/>
  <c r="R18" i="1"/>
  <c r="P18" i="1"/>
  <c r="N18" i="1"/>
  <c r="L18" i="1"/>
  <c r="T18" i="1" s="1"/>
  <c r="X18" i="1" s="1"/>
  <c r="J18" i="1"/>
  <c r="H18" i="1"/>
  <c r="G18" i="1"/>
  <c r="F18" i="1"/>
  <c r="W17" i="1"/>
  <c r="V17" i="1"/>
  <c r="U17" i="1"/>
  <c r="R17" i="1"/>
  <c r="T17" i="1" s="1"/>
  <c r="X17" i="1" s="1"/>
  <c r="P17" i="1"/>
  <c r="N17" i="1"/>
  <c r="L17" i="1"/>
  <c r="J17" i="1"/>
  <c r="G17" i="1"/>
  <c r="H17" i="1" s="1"/>
  <c r="F17" i="1"/>
  <c r="W16" i="1"/>
  <c r="V16" i="1"/>
  <c r="U16" i="1"/>
  <c r="R16" i="1"/>
  <c r="P16" i="1"/>
  <c r="N16" i="1"/>
  <c r="L16" i="1"/>
  <c r="T16" i="1" s="1"/>
  <c r="X16" i="1" s="1"/>
  <c r="J16" i="1"/>
  <c r="H16" i="1"/>
  <c r="G16" i="1"/>
  <c r="F16" i="1"/>
  <c r="W15" i="1"/>
  <c r="V15" i="1"/>
  <c r="U15" i="1"/>
  <c r="R15" i="1"/>
  <c r="P15" i="1"/>
  <c r="N15" i="1"/>
  <c r="L15" i="1"/>
  <c r="J15" i="1"/>
  <c r="G15" i="1"/>
  <c r="H15" i="1" s="1"/>
  <c r="F15" i="1"/>
  <c r="W14" i="1"/>
  <c r="V14" i="1"/>
  <c r="U14" i="1"/>
  <c r="R14" i="1"/>
  <c r="P14" i="1"/>
  <c r="N14" i="1"/>
  <c r="L14" i="1"/>
  <c r="T14" i="1" s="1"/>
  <c r="X14" i="1" s="1"/>
  <c r="J14" i="1"/>
  <c r="H14" i="1"/>
  <c r="G14" i="1"/>
  <c r="F14" i="1"/>
  <c r="W13" i="1"/>
  <c r="V13" i="1"/>
  <c r="U13" i="1"/>
  <c r="R13" i="1"/>
  <c r="P13" i="1"/>
  <c r="N13" i="1"/>
  <c r="L13" i="1"/>
  <c r="J13" i="1"/>
  <c r="G13" i="1"/>
  <c r="H13" i="1" s="1"/>
  <c r="F13" i="1"/>
  <c r="W12" i="1"/>
  <c r="V12" i="1"/>
  <c r="U12" i="1"/>
  <c r="R12" i="1"/>
  <c r="P12" i="1"/>
  <c r="N12" i="1"/>
  <c r="L12" i="1"/>
  <c r="T12" i="1" s="1"/>
  <c r="X12" i="1" s="1"/>
  <c r="J12" i="1"/>
  <c r="H12" i="1"/>
  <c r="G12" i="1"/>
  <c r="F12" i="1"/>
  <c r="W11" i="1"/>
  <c r="V11" i="1"/>
  <c r="U11" i="1"/>
  <c r="R11" i="1"/>
  <c r="P11" i="1"/>
  <c r="N11" i="1"/>
  <c r="L11" i="1"/>
  <c r="J11" i="1"/>
  <c r="G11" i="1"/>
  <c r="H11" i="1" s="1"/>
  <c r="F11" i="1"/>
  <c r="W10" i="1"/>
  <c r="V10" i="1"/>
  <c r="U10" i="1"/>
  <c r="R10" i="1"/>
  <c r="P10" i="1"/>
  <c r="N10" i="1"/>
  <c r="L10" i="1"/>
  <c r="L65" i="1" s="1"/>
  <c r="L68" i="1" s="1"/>
  <c r="L69" i="1" s="1"/>
  <c r="J10" i="1"/>
  <c r="H10" i="1"/>
  <c r="G10" i="1"/>
  <c r="F10" i="1"/>
  <c r="F65" i="1" s="1"/>
  <c r="F68" i="1" s="1"/>
  <c r="F69" i="1" s="1"/>
  <c r="W9" i="1"/>
  <c r="V9" i="1"/>
  <c r="U9" i="1"/>
  <c r="R9" i="1"/>
  <c r="T9" i="1" s="1"/>
  <c r="X9" i="1" s="1"/>
  <c r="P9" i="1"/>
  <c r="N9" i="1"/>
  <c r="L9" i="1"/>
  <c r="J9" i="1"/>
  <c r="G9" i="1"/>
  <c r="H9" i="1" s="1"/>
  <c r="F9" i="1"/>
  <c r="W8" i="1"/>
  <c r="V8" i="1"/>
  <c r="R8" i="1"/>
  <c r="P8" i="1"/>
  <c r="N8" i="1"/>
  <c r="N65" i="1" s="1"/>
  <c r="N68" i="1" s="1"/>
  <c r="N69" i="1" s="1"/>
  <c r="L8" i="1"/>
  <c r="J8" i="1"/>
  <c r="G8" i="1"/>
  <c r="F8" i="1"/>
  <c r="X40" i="1" l="1"/>
  <c r="AB40" i="1"/>
  <c r="T10" i="1"/>
  <c r="X10" i="1" s="1"/>
  <c r="H8" i="1"/>
  <c r="T15" i="1"/>
  <c r="X15" i="1" s="1"/>
  <c r="T23" i="1"/>
  <c r="X23" i="1" s="1"/>
  <c r="T31" i="1"/>
  <c r="X31" i="1" s="1"/>
  <c r="T60" i="1"/>
  <c r="X60" i="1" s="1"/>
  <c r="T63" i="1"/>
  <c r="X63" i="1" s="1"/>
  <c r="J65" i="1"/>
  <c r="J68" i="1" s="1"/>
  <c r="J69" i="1" s="1"/>
  <c r="T8" i="1"/>
  <c r="R65" i="1"/>
  <c r="R68" i="1" s="1"/>
  <c r="R69" i="1" s="1"/>
  <c r="P65" i="1"/>
  <c r="P68" i="1" s="1"/>
  <c r="P69" i="1" s="1"/>
  <c r="T13" i="1"/>
  <c r="X13" i="1" s="1"/>
  <c r="T21" i="1"/>
  <c r="X21" i="1" s="1"/>
  <c r="T29" i="1"/>
  <c r="X29" i="1" s="1"/>
  <c r="U32" i="1"/>
  <c r="AA32" i="1" s="1"/>
  <c r="AC32" i="1" s="1"/>
  <c r="P32" i="1"/>
  <c r="O65" i="1"/>
  <c r="O68" i="1" s="1"/>
  <c r="O69" i="1" s="1"/>
  <c r="W32" i="1"/>
  <c r="G32" i="1"/>
  <c r="H32" i="1" s="1"/>
  <c r="T32" i="1" s="1"/>
  <c r="X32" i="1" s="1"/>
  <c r="V32" i="1"/>
  <c r="T38" i="1"/>
  <c r="X38" i="1" s="1"/>
  <c r="T44" i="1"/>
  <c r="X44" i="1" s="1"/>
  <c r="T54" i="1"/>
  <c r="X54" i="1" s="1"/>
  <c r="W65" i="1"/>
  <c r="W68" i="1" s="1"/>
  <c r="W69" i="1" s="1"/>
  <c r="T46" i="1"/>
  <c r="X46" i="1" s="1"/>
  <c r="T48" i="1"/>
  <c r="X48" i="1" s="1"/>
  <c r="V65" i="1"/>
  <c r="V68" i="1" s="1"/>
  <c r="V69" i="1" s="1"/>
  <c r="T11" i="1"/>
  <c r="X11" i="1" s="1"/>
  <c r="T19" i="1"/>
  <c r="X19" i="1" s="1"/>
  <c r="T22" i="1"/>
  <c r="T27" i="1"/>
  <c r="X27" i="1" s="1"/>
  <c r="T36" i="1"/>
  <c r="X36" i="1" s="1"/>
  <c r="T41" i="1"/>
  <c r="X41" i="1" s="1"/>
  <c r="X22" i="1" l="1"/>
  <c r="AB22" i="1"/>
  <c r="H65" i="1"/>
  <c r="H68" i="1" s="1"/>
  <c r="H69" i="1" s="1"/>
  <c r="U65" i="1"/>
  <c r="U68" i="1" s="1"/>
  <c r="U69" i="1" s="1"/>
  <c r="T65" i="1"/>
  <c r="T68" i="1" s="1"/>
  <c r="T69" i="1" s="1"/>
  <c r="X8" i="1"/>
  <c r="X65" i="1" s="1"/>
  <c r="G65" i="1"/>
  <c r="G68" i="1" s="1"/>
  <c r="G69" i="1" s="1"/>
</calcChain>
</file>

<file path=xl/comments1.xml><?xml version="1.0" encoding="utf-8"?>
<comments xmlns="http://schemas.openxmlformats.org/spreadsheetml/2006/main">
  <authors>
    <author>User</author>
    <author>hp</author>
    <author>Windows User</author>
    <author>Admin</author>
  </authors>
  <commentList>
    <comment ref="S9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2.67 lên 3.00 từ 01/10/2016 là 8 tháng</t>
        </r>
      </text>
    </comment>
    <comment ref="B10" authorId="1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T12 nhận lương đầy đủ</t>
        </r>
      </text>
    </comment>
    <comment ref="S10" authorId="2">
      <text>
        <r>
          <rPr>
            <b/>
            <sz val="9"/>
            <color indexed="81"/>
            <rFont val="Tahoma"/>
          </rPr>
          <t>Windows User:</t>
        </r>
        <r>
          <rPr>
            <sz val="9"/>
            <color indexed="81"/>
            <rFont val="Tahoma"/>
          </rPr>
          <t xml:space="preserve">
T7 ngày 12 đi làm lại lĩnh PC TN, KV
</t>
        </r>
      </text>
    </comment>
    <comment ref="S14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trừ 2 ngày nghỉ ốm T6
/2017
</t>
        </r>
      </text>
    </comment>
    <comment ref="S16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từ 1.86 len 2.06 từ 08/11/2016 là 7 tháng</t>
        </r>
      </text>
    </comment>
    <comment ref="A22" authorId="1">
      <text>
        <r>
          <rPr>
            <b/>
            <sz val="8"/>
            <color indexed="81"/>
            <rFont val="Tahoma"/>
            <family val="2"/>
          </rPr>
          <t>hp:T4 nghỉ thai sản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S28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trừ 5 ngày nghỉ ốm T05/2017
</t>
        </r>
      </text>
    </comment>
    <comment ref="S32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truy linh he so vuot khung 5% tư thang 12/2016 đến t5/2017</t>
        </r>
      </text>
    </comment>
    <comment ref="A33" authorId="1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t10 NGHỈ THAI SẢN</t>
        </r>
      </text>
    </comment>
    <comment ref="A36" authorId="3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NGHI THAI SAN T12</t>
        </r>
      </text>
    </comment>
    <comment ref="S36" authorId="0">
      <text>
        <r>
          <rPr>
            <sz val="8"/>
            <color indexed="81"/>
            <rFont val="Tahoma"/>
          </rPr>
          <t xml:space="preserve">T7 muc luong co ban 1150
</t>
        </r>
      </text>
    </comment>
    <comment ref="S42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truy linh tang luong tu 3,99 lên 4,32 từ 01/07/2016 là 11 tháng</t>
        </r>
      </text>
    </comment>
    <comment ref="A45" authorId="3">
      <text>
        <r>
          <rPr>
            <b/>
            <sz val="8"/>
            <color indexed="81"/>
            <rFont val="Tahoma"/>
            <family val="2"/>
          </rPr>
          <t>Admin:</t>
        </r>
        <r>
          <rPr>
            <sz val="8"/>
            <color indexed="81"/>
            <rFont val="Tahoma"/>
            <family val="2"/>
          </rPr>
          <t xml:space="preserve">
NGHI THAI SAN T12</t>
        </r>
      </text>
    </comment>
    <comment ref="S45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T7 muc luong co ban 1150</t>
        </r>
      </text>
    </comment>
    <comment ref="S47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truy linh tang luong tu 2.06 lên 2.26 từ 01/09/2016 la 9 tháng</t>
        </r>
      </text>
    </comment>
    <comment ref="A49" authorId="1">
      <text>
        <r>
          <rPr>
            <b/>
            <sz val="8"/>
            <color indexed="81"/>
            <rFont val="Tahoma"/>
            <family val="2"/>
          </rPr>
          <t>hp: nghỉ thai sản T6/2015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A53" authorId="1">
      <text>
        <r>
          <rPr>
            <b/>
            <sz val="8"/>
            <color indexed="81"/>
            <rFont val="Tahoma"/>
            <family val="2"/>
          </rPr>
          <t>hp:</t>
        </r>
        <r>
          <rPr>
            <sz val="8"/>
            <color indexed="81"/>
            <rFont val="Tahoma"/>
            <family val="2"/>
          </rPr>
          <t xml:space="preserve">
T7 nghỉ  thai sản</t>
        </r>
      </text>
    </comment>
    <comment ref="S53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truy linh luong tu 2.06 den 2.26 tu 01/09/2016 đen t5/2017 la 9 thang</t>
        </r>
      </text>
    </comment>
    <comment ref="S64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truy linh 1.65 lên 1.83 từ 24/04/2016
</t>
        </r>
      </text>
    </comment>
    <comment ref="S116" authorId="0">
      <text>
        <r>
          <rPr>
            <b/>
            <sz val="8"/>
            <color indexed="81"/>
            <rFont val="Tahoma"/>
          </rPr>
          <t>User:</t>
        </r>
        <r>
          <rPr>
            <sz val="8"/>
            <color indexed="81"/>
            <rFont val="Tahoma"/>
          </rPr>
          <t xml:space="preserve">
truy linh 2.34 lên 2.67 từ 01/08/2016</t>
        </r>
      </text>
    </comment>
    <comment ref="S118" authorId="3">
      <text>
        <r>
          <rPr>
            <b/>
            <sz val="9"/>
            <color indexed="81"/>
            <rFont val="Tahoma"/>
          </rPr>
          <t>Admin:</t>
        </r>
        <r>
          <rPr>
            <sz val="9"/>
            <color indexed="81"/>
            <rFont val="Tahoma"/>
          </rPr>
          <t xml:space="preserve">
t7 3 ngày nghi ốm
</t>
        </r>
      </text>
    </comment>
  </commentList>
</comments>
</file>

<file path=xl/sharedStrings.xml><?xml version="1.0" encoding="utf-8"?>
<sst xmlns="http://schemas.openxmlformats.org/spreadsheetml/2006/main" count="293" uniqueCount="171">
  <si>
    <t>SỞ Y TẾ THỪA THIÊN HUẾ</t>
  </si>
  <si>
    <t>BỆNH VIỆN ĐA KHOA BÌNH ĐIỀN</t>
  </si>
  <si>
    <t xml:space="preserve">       BẢNG THANH TOÁN LƯƠNG VÀ CÁC KHOẢN PHỤ CẤP THEO LƯƠNG THÁNG 10 NĂM 2017</t>
  </si>
  <si>
    <t>TT</t>
  </si>
  <si>
    <t>HỌ VÀ TÊN</t>
  </si>
  <si>
    <t>Chức 
danh hoặc chức vụ</t>
  </si>
  <si>
    <t>Khoa/
Phòng</t>
  </si>
  <si>
    <t>HSố</t>
  </si>
  <si>
    <t>Tiền</t>
  </si>
  <si>
    <t>Phụ cấp ưu đãi</t>
  </si>
  <si>
    <t>Phụ cấp chức vụ</t>
  </si>
  <si>
    <t>Phụ cấp khu vực</t>
  </si>
  <si>
    <t>Phụ cấp độc hại</t>
  </si>
  <si>
    <t>Phụ cấp vượt khung</t>
  </si>
  <si>
    <t>Phụ cấp trách nhiệm</t>
  </si>
  <si>
    <t>Truy lĩnh
 (+/-)</t>
  </si>
  <si>
    <t>Tổng</t>
  </si>
  <si>
    <t>1,5%</t>
  </si>
  <si>
    <t>Còn Lại</t>
  </si>
  <si>
    <t>Ghi chú</t>
  </si>
  <si>
    <t>lương + chênh 
lệch bảo lưu</t>
  </si>
  <si>
    <t>Hệ số</t>
  </si>
  <si>
    <t xml:space="preserve">Tiền </t>
  </si>
  <si>
    <t>cộng</t>
  </si>
  <si>
    <t>BHTN</t>
  </si>
  <si>
    <t>BHYT</t>
  </si>
  <si>
    <t>BHXH</t>
  </si>
  <si>
    <t>A</t>
  </si>
  <si>
    <t>B</t>
  </si>
  <si>
    <t>C</t>
  </si>
  <si>
    <t>D</t>
  </si>
  <si>
    <t>E</t>
  </si>
  <si>
    <t>F</t>
  </si>
  <si>
    <t>G</t>
  </si>
  <si>
    <t>H</t>
  </si>
  <si>
    <t>I</t>
  </si>
  <si>
    <t>J</t>
  </si>
  <si>
    <t>K</t>
  </si>
  <si>
    <t>L</t>
  </si>
  <si>
    <t>M</t>
  </si>
  <si>
    <t>N</t>
  </si>
  <si>
    <t>O</t>
  </si>
  <si>
    <t>P</t>
  </si>
  <si>
    <t>Q</t>
  </si>
  <si>
    <t>R</t>
  </si>
  <si>
    <t>S</t>
  </si>
  <si>
    <t>T</t>
  </si>
  <si>
    <t>Phan Lê Minh Tuấn</t>
  </si>
  <si>
    <t>Giám 
đốc</t>
  </si>
  <si>
    <t>Ngoại-Sản</t>
  </si>
  <si>
    <t>Chuyển khoa</t>
  </si>
  <si>
    <t>Trần Đình Tuyến</t>
  </si>
  <si>
    <t>Phó
 khoa</t>
  </si>
  <si>
    <t>Hồ Thị Tể</t>
  </si>
  <si>
    <t>Hộ sinh</t>
  </si>
  <si>
    <t>Hoàng Thị Kim Liên</t>
  </si>
  <si>
    <t>Hoàng Thị Oanh</t>
  </si>
  <si>
    <t>ĐDTK</t>
  </si>
  <si>
    <t>Lê Thị Luynh</t>
  </si>
  <si>
    <t>ĐDTH</t>
  </si>
  <si>
    <t>Ngô Thị Mỹ Duyên</t>
  </si>
  <si>
    <t>ĐD
 trưởng</t>
  </si>
  <si>
    <t>Nguyễn Thị Phương</t>
  </si>
  <si>
    <t>Hộ lý</t>
  </si>
  <si>
    <t>Phan Vinh</t>
  </si>
  <si>
    <t>Văn Viết Vũ</t>
  </si>
  <si>
    <t>Bác sĩ</t>
  </si>
  <si>
    <t>Ngô Cưu</t>
  </si>
  <si>
    <t>TPTC</t>
  </si>
  <si>
    <t>CLS</t>
  </si>
  <si>
    <t>Bùi Thị Hải</t>
  </si>
  <si>
    <t>KTV
XN</t>
  </si>
  <si>
    <t>Lê Trần Quang Phước</t>
  </si>
  <si>
    <t>CN
CĐHA</t>
  </si>
  <si>
    <t>Nguyễn Thị Lan</t>
  </si>
  <si>
    <t>Nguyễn Thị Thanh Nga</t>
  </si>
  <si>
    <t>Hộ Lý</t>
  </si>
  <si>
    <t>Trần Huy Hoàng</t>
  </si>
  <si>
    <t>KTV
CĐHA</t>
  </si>
  <si>
    <t>Trần Thị Thu Hương</t>
  </si>
  <si>
    <t>TK</t>
  </si>
  <si>
    <t>Dược-CNK</t>
  </si>
  <si>
    <t>Hoàng Thị Chanh</t>
  </si>
  <si>
    <t>DSĐH</t>
  </si>
  <si>
    <t>Lê Trần Hoài Thư</t>
  </si>
  <si>
    <t>DSTH</t>
  </si>
  <si>
    <t>Nguyễn Thị Mùi</t>
  </si>
  <si>
    <t>Trương Thị Ngọc Mận</t>
  </si>
  <si>
    <t>Trần Bắc</t>
  </si>
  <si>
    <t>PGĐ</t>
  </si>
  <si>
    <t>HSCC-ĐTTC-CĐ</t>
  </si>
  <si>
    <t>Đoàn Thị Thu Nguyệt</t>
  </si>
  <si>
    <t>Lê Thị Hoài</t>
  </si>
  <si>
    <t>PPNV</t>
  </si>
  <si>
    <t>Lê Thị Thu Hương</t>
  </si>
  <si>
    <t>Vượt khung tính sai</t>
  </si>
  <si>
    <t>Trần Thị Hoa</t>
  </si>
  <si>
    <t>Nguyễn Thị Thu Hà</t>
  </si>
  <si>
    <t>Trưởng 
phòng</t>
  </si>
  <si>
    <t>Khám bệnh</t>
  </si>
  <si>
    <t>Đỗ Thị Hoàng Nhung</t>
  </si>
  <si>
    <t>Lê Thị Hoài Thu</t>
  </si>
  <si>
    <t>Lê Thị Lanh</t>
  </si>
  <si>
    <t>Nguyễn Thanh Bình</t>
  </si>
  <si>
    <t>CĐĐD</t>
  </si>
  <si>
    <t>Trần Thị Hằng</t>
  </si>
  <si>
    <t>Trương Thị Hồng Kiều</t>
  </si>
  <si>
    <t>Đi học từ 11/9/2017</t>
  </si>
  <si>
    <t>Võ Thị Huyền Trang</t>
  </si>
  <si>
    <t>DD</t>
  </si>
  <si>
    <t>Nguyễn Ngà</t>
  </si>
  <si>
    <t>Nội-Nhi-Truyền nhiễm</t>
  </si>
  <si>
    <t>Hoàng Thị Nhâm</t>
  </si>
  <si>
    <t>Nội-Nhi-TN</t>
  </si>
  <si>
    <t>La Thị Mỹ Huyền</t>
  </si>
  <si>
    <t>Lê Thị Ngọc Quý</t>
  </si>
  <si>
    <t>ĐDCĐ</t>
  </si>
  <si>
    <t>Nguyễn Thị Thảo</t>
  </si>
  <si>
    <t>Nguyễn Thị Toàn Thắng</t>
  </si>
  <si>
    <t>PPĐD</t>
  </si>
  <si>
    <t>Phan Thị Nga</t>
  </si>
  <si>
    <t>Phan Thị Phương</t>
  </si>
  <si>
    <t>Nguyễn Văn Hà</t>
  </si>
  <si>
    <t>Y Dược cổ truyền</t>
  </si>
  <si>
    <t>Hoàng Phước Ngọc Trâm</t>
  </si>
  <si>
    <t>Nguyễn Linh San</t>
  </si>
  <si>
    <t>Y sĩ YHCT</t>
  </si>
  <si>
    <t>Nguyễn Thị Kim Hằng</t>
  </si>
  <si>
    <t>Y sĩ
 YHCT</t>
  </si>
  <si>
    <t>Trịnh Đình Dũng</t>
  </si>
  <si>
    <t xml:space="preserve">Nguyễn Văn Tín </t>
  </si>
  <si>
    <t>Lái xe</t>
  </si>
  <si>
    <t>TCCB-
HCQT</t>
  </si>
  <si>
    <t>Bùi Quốc An</t>
  </si>
  <si>
    <t>Bảo vệ</t>
  </si>
  <si>
    <t>TCCB-HCQT</t>
  </si>
  <si>
    <t>Cao Quý</t>
  </si>
  <si>
    <t>Ngô Qúy Toàn</t>
  </si>
  <si>
    <t>Nguyễn Đăng Sơn</t>
  </si>
  <si>
    <t>CNCNTT</t>
  </si>
  <si>
    <t>Trương Thị Uyển Nhi</t>
  </si>
  <si>
    <t>TC-KT</t>
  </si>
  <si>
    <t>Bùi Thị Hồng Liên</t>
  </si>
  <si>
    <t>Kế toán</t>
  </si>
  <si>
    <t>Hà Thị Hồng Minh</t>
  </si>
  <si>
    <t>Ngô Thị Uyển Nhi</t>
  </si>
  <si>
    <t>Nguyễn Thị Lan Anh</t>
  </si>
  <si>
    <t>Cấp
 dưỡng</t>
  </si>
  <si>
    <t>TỔNG CỘNG</t>
  </si>
  <si>
    <r>
      <t>Bằng chữ</t>
    </r>
    <r>
      <rPr>
        <b/>
        <i/>
        <sz val="12"/>
        <rFont val="Times New Roman"/>
        <family val="1"/>
      </rPr>
      <t>: Hai trăm bảy mươi triệu bốn trăm hai mươi bốn nghìn tám trăm chín mươi hai đồng chẵn./.</t>
    </r>
  </si>
  <si>
    <t xml:space="preserve">Giám đốc    </t>
  </si>
  <si>
    <t>PT Kế toán</t>
  </si>
  <si>
    <t xml:space="preserve">Người lập </t>
  </si>
  <si>
    <t>Trương Thị Uyển Nhi</t>
  </si>
  <si>
    <t>GHI CHÚ</t>
  </si>
  <si>
    <t>Tổng số cán bộ: 60 người</t>
  </si>
  <si>
    <t>Nguyễn Thị Thu Hà, Trần Thị Ni Na, Phan Thị Như Ngọc</t>
  </si>
  <si>
    <t>Nghỉ thai sản</t>
  </si>
  <si>
    <t>Nguyễn Linh San, Hoàng Thị Nhâm</t>
  </si>
  <si>
    <t>Học tập trung chỉ hưởng lương cơ bản</t>
  </si>
  <si>
    <t>Học tập trung chỉ hưởng lương cơ bản, truy thu phụ cấp ưu đãi, phụ cấp khu vực do đi học từ 11/9/2017</t>
  </si>
  <si>
    <t>Trần Thị Hằng</t>
  </si>
  <si>
    <t>Đi học, được hưởng lương cơ bản và phụ cấp ưu đãi</t>
  </si>
  <si>
    <t>Nghỉ DSPHSK sau thai sản 7 ngày tháng 9/2017</t>
  </si>
  <si>
    <t>Truy lĩnh phụ cấp do tính nhầm mức hưởng vượt khung</t>
  </si>
  <si>
    <t>Truy thu phụ cấp do chuyển khoa từ ngày 17/7/2017</t>
  </si>
  <si>
    <t>Truy lĩnh phụ cấp do chuyển khoa từ ngày 17/7/2017</t>
  </si>
  <si>
    <t>Truy lĩnh phụ cấp do chuyển khoa từ ngày 01/8/2017</t>
  </si>
  <si>
    <t>Truy lĩnh phụ cấp ưu đãi, độc hại từ ngày 10/3/2017</t>
  </si>
  <si>
    <t>Trần Thị Ni Na</t>
  </si>
  <si>
    <t>Phan Thị Như Ngọc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</si>
</sst>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(* #,##0.00_);_(* \(#,##0.00\);_(* &quot;-&quot;??_);_(@_)"/>
    <numFmt numFmtId="164" formatCode="#,##0.000"/>
    <numFmt numFmtId="165" formatCode="_(* #,##0.000_);_(* \(#,##0.000\);_(* &quot;-&quot;??_);_(@_)"/>
    <numFmt numFmtId="166" formatCode="_(* #,##0_);_(* \(#,##0\);_(* &quot;-&quot;??_);_(@_)"/>
    <numFmt numFmtId="167" formatCode="#,##0.0"/>
  </numFmts>
  <fonts count="21" x14ac:knownFonts="1">
    <font>
      <sz val="11"/>
      <color indexed="8"/>
      <name val="Calibri"/>
      <family val="2"/>
    </font>
    <font>
      <sz val="11"/>
      <color indexed="8"/>
      <name val="Calibri"/>
      <family val="2"/>
    </font>
    <font>
      <b/>
      <sz val="11"/>
      <name val="Times New Roman"/>
      <family val="1"/>
    </font>
    <font>
      <sz val="11"/>
      <name val="Times New Roman"/>
      <family val="1"/>
    </font>
    <font>
      <b/>
      <sz val="16"/>
      <name val="Times New Roman"/>
      <family val="1"/>
    </font>
    <font>
      <sz val="12"/>
      <name val="Times New Roman"/>
      <family val="1"/>
    </font>
    <font>
      <b/>
      <sz val="10"/>
      <name val="Times New Roman"/>
      <family val="1"/>
    </font>
    <font>
      <sz val="10"/>
      <name val="Times New Roman"/>
      <family val="1"/>
    </font>
    <font>
      <sz val="9"/>
      <name val="Times New Roman"/>
      <family val="1"/>
    </font>
    <font>
      <b/>
      <i/>
      <u/>
      <sz val="12"/>
      <name val="Times New Roman"/>
      <family val="1"/>
    </font>
    <font>
      <b/>
      <i/>
      <sz val="12"/>
      <name val="Times New Roman"/>
      <family val="1"/>
    </font>
    <font>
      <b/>
      <sz val="12"/>
      <name val="Times New Roman"/>
      <family val="1"/>
    </font>
    <font>
      <sz val="13"/>
      <name val="Times New Roman"/>
      <family val="1"/>
    </font>
    <font>
      <b/>
      <i/>
      <u/>
      <sz val="13"/>
      <name val="Times New Roman"/>
      <family val="1"/>
    </font>
    <font>
      <b/>
      <sz val="13"/>
      <name val="Times New Roman"/>
      <family val="1"/>
    </font>
    <font>
      <b/>
      <sz val="8"/>
      <color indexed="81"/>
      <name val="Tahoma"/>
    </font>
    <font>
      <sz val="8"/>
      <color indexed="81"/>
      <name val="Tahoma"/>
    </font>
    <font>
      <b/>
      <sz val="8"/>
      <color indexed="81"/>
      <name val="Tahoma"/>
      <family val="2"/>
    </font>
    <font>
      <sz val="8"/>
      <color indexed="81"/>
      <name val="Tahoma"/>
      <family val="2"/>
    </font>
    <font>
      <b/>
      <sz val="9"/>
      <color indexed="81"/>
      <name val="Tahoma"/>
    </font>
    <font>
      <sz val="9"/>
      <color indexed="81"/>
      <name val="Tahoma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FFFF0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6">
    <xf numFmtId="0" fontId="0" fillId="0" borderId="0"/>
    <xf numFmtId="43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0" fontId="5" fillId="0" borderId="0"/>
  </cellStyleXfs>
  <cellXfs count="111">
    <xf numFmtId="0" fontId="0" fillId="0" borderId="0" xfId="0"/>
    <xf numFmtId="0" fontId="2" fillId="0" borderId="0" xfId="0" applyFont="1" applyAlignment="1">
      <alignment horizontal="center"/>
    </xf>
    <xf numFmtId="0" fontId="3" fillId="0" borderId="0" xfId="0" applyFont="1"/>
    <xf numFmtId="0" fontId="4" fillId="0" borderId="0" xfId="0" applyFont="1" applyAlignment="1">
      <alignment horizontal="center" wrapText="1"/>
    </xf>
    <xf numFmtId="0" fontId="3" fillId="0" borderId="1" xfId="0" applyFont="1" applyBorder="1" applyAlignment="1"/>
    <xf numFmtId="0" fontId="3" fillId="0" borderId="0" xfId="0" applyFont="1" applyBorder="1" applyAlignment="1">
      <alignment wrapText="1"/>
    </xf>
    <xf numFmtId="0" fontId="5" fillId="0" borderId="0" xfId="0" applyFont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 wrapText="1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9" fontId="6" fillId="0" borderId="3" xfId="0" applyNumberFormat="1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wrapText="1"/>
    </xf>
    <xf numFmtId="0" fontId="3" fillId="0" borderId="0" xfId="0" applyFont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/>
    </xf>
    <xf numFmtId="0" fontId="3" fillId="2" borderId="3" xfId="0" applyFont="1" applyFill="1" applyBorder="1" applyProtection="1">
      <protection locked="0"/>
    </xf>
    <xf numFmtId="0" fontId="3" fillId="2" borderId="3" xfId="0" applyFont="1" applyFill="1" applyBorder="1" applyAlignment="1" applyProtection="1">
      <alignment horizontal="center" wrapText="1"/>
      <protection locked="0"/>
    </xf>
    <xf numFmtId="4" fontId="3" fillId="2" borderId="3" xfId="0" applyNumberFormat="1" applyFont="1" applyFill="1" applyBorder="1" applyAlignment="1" applyProtection="1">
      <alignment horizontal="right"/>
    </xf>
    <xf numFmtId="3" fontId="3" fillId="0" borderId="3" xfId="0" applyNumberFormat="1" applyFont="1" applyBorder="1"/>
    <xf numFmtId="164" fontId="3" fillId="0" borderId="3" xfId="0" applyNumberFormat="1" applyFont="1" applyBorder="1" applyAlignment="1">
      <alignment horizontal="center"/>
    </xf>
    <xf numFmtId="3" fontId="3" fillId="0" borderId="3" xfId="0" applyNumberFormat="1" applyFont="1" applyBorder="1" applyAlignment="1">
      <alignment horizontal="right"/>
    </xf>
    <xf numFmtId="4" fontId="3" fillId="0" borderId="3" xfId="0" applyNumberFormat="1" applyFont="1" applyBorder="1" applyAlignment="1">
      <alignment horizontal="center"/>
    </xf>
    <xf numFmtId="4" fontId="3" fillId="2" borderId="3" xfId="0" applyNumberFormat="1" applyFont="1" applyFill="1" applyBorder="1" applyAlignment="1" applyProtection="1">
      <alignment horizontal="right"/>
      <protection locked="0"/>
    </xf>
    <xf numFmtId="3" fontId="3" fillId="0" borderId="3" xfId="0" applyNumberFormat="1" applyFont="1" applyFill="1" applyBorder="1"/>
    <xf numFmtId="3" fontId="3" fillId="3" borderId="3" xfId="0" applyNumberFormat="1" applyFont="1" applyFill="1" applyBorder="1"/>
    <xf numFmtId="3" fontId="3" fillId="0" borderId="0" xfId="0" applyNumberFormat="1" applyFont="1"/>
    <xf numFmtId="0" fontId="3" fillId="0" borderId="0" xfId="0" applyFont="1" applyFill="1"/>
    <xf numFmtId="0" fontId="3" fillId="2" borderId="3" xfId="0" applyFont="1" applyFill="1" applyBorder="1" applyAlignment="1" applyProtection="1">
      <alignment horizontal="center"/>
      <protection locked="0"/>
    </xf>
    <xf numFmtId="4" fontId="3" fillId="0" borderId="3" xfId="0" applyNumberFormat="1" applyFont="1" applyFill="1" applyBorder="1" applyAlignment="1" applyProtection="1">
      <alignment horizontal="right"/>
      <protection locked="0"/>
    </xf>
    <xf numFmtId="0" fontId="7" fillId="0" borderId="0" xfId="0" applyFont="1"/>
    <xf numFmtId="0" fontId="3" fillId="0" borderId="3" xfId="0" applyFont="1" applyFill="1" applyBorder="1" applyProtection="1">
      <protection locked="0"/>
    </xf>
    <xf numFmtId="4" fontId="3" fillId="0" borderId="3" xfId="0" applyNumberFormat="1" applyFont="1" applyFill="1" applyBorder="1" applyAlignment="1" applyProtection="1">
      <alignment horizontal="right"/>
    </xf>
    <xf numFmtId="4" fontId="3" fillId="0" borderId="3" xfId="0" applyNumberFormat="1" applyFont="1" applyFill="1" applyBorder="1" applyAlignment="1">
      <alignment horizontal="center"/>
    </xf>
    <xf numFmtId="0" fontId="7" fillId="0" borderId="0" xfId="0" applyFont="1" applyFill="1"/>
    <xf numFmtId="0" fontId="3" fillId="0" borderId="3" xfId="0" applyFont="1" applyFill="1" applyBorder="1" applyAlignment="1" applyProtection="1">
      <alignment horizontal="center"/>
      <protection locked="0"/>
    </xf>
    <xf numFmtId="164" fontId="3" fillId="0" borderId="3" xfId="0" applyNumberFormat="1" applyFont="1" applyFill="1" applyBorder="1" applyAlignment="1">
      <alignment horizontal="center"/>
    </xf>
    <xf numFmtId="2" fontId="3" fillId="2" borderId="3" xfId="0" applyNumberFormat="1" applyFont="1" applyFill="1" applyBorder="1" applyProtection="1">
      <protection locked="0"/>
    </xf>
    <xf numFmtId="0" fontId="3" fillId="0" borderId="3" xfId="0" applyFont="1" applyBorder="1" applyProtection="1">
      <protection locked="0"/>
    </xf>
    <xf numFmtId="0" fontId="3" fillId="0" borderId="3" xfId="0" applyFont="1" applyBorder="1" applyAlignment="1" applyProtection="1">
      <alignment horizontal="center" wrapText="1"/>
      <protection locked="0"/>
    </xf>
    <xf numFmtId="4" fontId="3" fillId="0" borderId="3" xfId="0" applyNumberFormat="1" applyFont="1" applyBorder="1" applyProtection="1">
      <protection locked="0"/>
    </xf>
    <xf numFmtId="3" fontId="3" fillId="0" borderId="0" xfId="0" applyNumberFormat="1" applyFont="1" applyFill="1"/>
    <xf numFmtId="4" fontId="3" fillId="2" borderId="3" xfId="0" applyNumberFormat="1" applyFont="1" applyFill="1" applyBorder="1" applyProtection="1"/>
    <xf numFmtId="4" fontId="8" fillId="0" borderId="3" xfId="0" applyNumberFormat="1" applyFont="1" applyBorder="1" applyAlignment="1">
      <alignment horizontal="center"/>
    </xf>
    <xf numFmtId="4" fontId="3" fillId="2" borderId="3" xfId="0" applyNumberFormat="1" applyFont="1" applyFill="1" applyBorder="1" applyProtection="1">
      <protection locked="0"/>
    </xf>
    <xf numFmtId="165" fontId="3" fillId="0" borderId="3" xfId="1" applyNumberFormat="1" applyFont="1" applyBorder="1"/>
    <xf numFmtId="0" fontId="3" fillId="0" borderId="3" xfId="0" applyFont="1" applyFill="1" applyBorder="1" applyAlignment="1" applyProtection="1">
      <alignment horizontal="center" wrapText="1"/>
      <protection locked="0"/>
    </xf>
    <xf numFmtId="3" fontId="7" fillId="0" borderId="0" xfId="0" applyNumberFormat="1" applyFont="1" applyFill="1"/>
    <xf numFmtId="0" fontId="3" fillId="2" borderId="0" xfId="0" applyFont="1" applyFill="1"/>
    <xf numFmtId="0" fontId="3" fillId="4" borderId="0" xfId="0" applyFont="1" applyFill="1"/>
    <xf numFmtId="0" fontId="3" fillId="2" borderId="8" xfId="0" applyFont="1" applyFill="1" applyBorder="1" applyProtection="1">
      <protection locked="0"/>
    </xf>
    <xf numFmtId="0" fontId="2" fillId="0" borderId="4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43" fontId="2" fillId="0" borderId="3" xfId="2" applyNumberFormat="1" applyFont="1" applyBorder="1" applyAlignment="1">
      <alignment horizontal="right" wrapText="1"/>
    </xf>
    <xf numFmtId="43" fontId="6" fillId="2" borderId="3" xfId="1" applyNumberFormat="1" applyFont="1" applyFill="1" applyBorder="1" applyAlignment="1" applyProtection="1">
      <alignment horizontal="right"/>
    </xf>
    <xf numFmtId="166" fontId="6" fillId="2" borderId="3" xfId="1" applyNumberFormat="1" applyFont="1" applyFill="1" applyBorder="1" applyAlignment="1" applyProtection="1">
      <alignment horizontal="right"/>
    </xf>
    <xf numFmtId="165" fontId="6" fillId="2" borderId="3" xfId="1" applyNumberFormat="1" applyFont="1" applyFill="1" applyBorder="1" applyAlignment="1" applyProtection="1">
      <alignment horizontal="right"/>
    </xf>
    <xf numFmtId="4" fontId="2" fillId="0" borderId="0" xfId="0" applyNumberFormat="1" applyFont="1" applyBorder="1" applyAlignment="1">
      <alignment horizontal="center"/>
    </xf>
    <xf numFmtId="3" fontId="2" fillId="0" borderId="0" xfId="0" applyNumberFormat="1" applyFont="1" applyBorder="1"/>
    <xf numFmtId="0" fontId="2" fillId="0" borderId="0" xfId="0" applyFont="1"/>
    <xf numFmtId="0" fontId="5" fillId="0" borderId="0" xfId="0" applyFont="1" applyBorder="1" applyAlignment="1">
      <alignment horizontal="right"/>
    </xf>
    <xf numFmtId="0" fontId="9" fillId="0" borderId="0" xfId="0" applyFont="1"/>
    <xf numFmtId="0" fontId="5" fillId="0" borderId="0" xfId="0" applyFont="1" applyAlignment="1">
      <alignment wrapText="1"/>
    </xf>
    <xf numFmtId="3" fontId="5" fillId="0" borderId="0" xfId="0" applyNumberFormat="1" applyFont="1"/>
    <xf numFmtId="166" fontId="5" fillId="0" borderId="0" xfId="0" applyNumberFormat="1" applyFont="1"/>
    <xf numFmtId="166" fontId="11" fillId="0" borderId="0" xfId="2" applyNumberFormat="1" applyFont="1" applyBorder="1" applyAlignment="1">
      <alignment horizontal="right"/>
    </xf>
    <xf numFmtId="0" fontId="5" fillId="0" borderId="0" xfId="0" applyFont="1" applyBorder="1"/>
    <xf numFmtId="0" fontId="11" fillId="0" borderId="0" xfId="0" applyFont="1" applyBorder="1" applyAlignment="1">
      <alignment horizontal="center"/>
    </xf>
    <xf numFmtId="0" fontId="11" fillId="0" borderId="0" xfId="0" applyFont="1"/>
    <xf numFmtId="0" fontId="11" fillId="0" borderId="0" xfId="0" applyFont="1" applyAlignment="1"/>
    <xf numFmtId="0" fontId="11" fillId="0" borderId="0" xfId="0" applyFont="1" applyAlignment="1">
      <alignment horizontal="center"/>
    </xf>
    <xf numFmtId="167" fontId="5" fillId="0" borderId="0" xfId="0" applyNumberFormat="1" applyFont="1"/>
    <xf numFmtId="4" fontId="5" fillId="0" borderId="0" xfId="0" applyNumberFormat="1" applyFont="1"/>
    <xf numFmtId="0" fontId="11" fillId="0" borderId="0" xfId="0" applyFont="1" applyBorder="1" applyAlignment="1">
      <alignment horizontal="right"/>
    </xf>
    <xf numFmtId="3" fontId="11" fillId="0" borderId="0" xfId="0" applyNumberFormat="1" applyFont="1"/>
    <xf numFmtId="3" fontId="11" fillId="0" borderId="0" xfId="0" applyNumberFormat="1" applyFont="1" applyAlignment="1">
      <alignment horizontal="center"/>
    </xf>
    <xf numFmtId="0" fontId="12" fillId="0" borderId="0" xfId="0" applyFont="1" applyBorder="1" applyAlignment="1">
      <alignment horizontal="right"/>
    </xf>
    <xf numFmtId="0" fontId="13" fillId="0" borderId="0" xfId="0" applyFont="1"/>
    <xf numFmtId="0" fontId="12" fillId="0" borderId="0" xfId="0" applyFont="1"/>
    <xf numFmtId="0" fontId="12" fillId="0" borderId="0" xfId="0" applyFont="1" applyAlignment="1">
      <alignment wrapText="1"/>
    </xf>
    <xf numFmtId="3" fontId="12" fillId="0" borderId="0" xfId="0" applyNumberFormat="1" applyFont="1" applyAlignment="1">
      <alignment horizontal="center"/>
    </xf>
    <xf numFmtId="3" fontId="12" fillId="0" borderId="0" xfId="0" applyNumberFormat="1" applyFont="1"/>
    <xf numFmtId="0" fontId="12" fillId="0" borderId="0" xfId="0" applyFont="1" applyAlignment="1">
      <alignment horizontal="center"/>
    </xf>
    <xf numFmtId="166" fontId="12" fillId="0" borderId="0" xfId="0" applyNumberFormat="1" applyFont="1"/>
    <xf numFmtId="166" fontId="14" fillId="0" borderId="0" xfId="2" applyNumberFormat="1" applyFont="1" applyBorder="1" applyAlignment="1">
      <alignment horizontal="right"/>
    </xf>
    <xf numFmtId="0" fontId="14" fillId="0" borderId="0" xfId="0" applyFont="1"/>
    <xf numFmtId="0" fontId="5" fillId="2" borderId="0" xfId="0" applyFont="1" applyFill="1" applyBorder="1" applyAlignment="1" applyProtection="1">
      <protection locked="0"/>
    </xf>
    <xf numFmtId="0" fontId="5" fillId="0" borderId="0" xfId="0" applyFont="1" applyBorder="1" applyAlignment="1">
      <alignment horizontal="left"/>
    </xf>
    <xf numFmtId="0" fontId="11" fillId="0" borderId="0" xfId="0" applyFont="1" applyBorder="1"/>
    <xf numFmtId="0" fontId="11" fillId="0" borderId="0" xfId="0" applyFont="1" applyBorder="1" applyAlignment="1">
      <alignment horizontal="center"/>
    </xf>
    <xf numFmtId="166" fontId="11" fillId="0" borderId="0" xfId="0" applyNumberFormat="1" applyFont="1" applyBorder="1" applyAlignment="1">
      <alignment horizontal="center"/>
    </xf>
    <xf numFmtId="0" fontId="3" fillId="0" borderId="0" xfId="0" applyFont="1" applyAlignment="1">
      <alignment wrapText="1"/>
    </xf>
    <xf numFmtId="0" fontId="5" fillId="0" borderId="0" xfId="0" applyFont="1" applyBorder="1" applyAlignment="1">
      <alignment horizontal="center"/>
    </xf>
    <xf numFmtId="0" fontId="3" fillId="4" borderId="3" xfId="0" applyFont="1" applyFill="1" applyBorder="1" applyAlignment="1">
      <alignment horizontal="center"/>
    </xf>
    <xf numFmtId="0" fontId="3" fillId="4" borderId="3" xfId="0" applyFont="1" applyFill="1" applyBorder="1" applyProtection="1">
      <protection locked="0"/>
    </xf>
    <xf numFmtId="0" fontId="3" fillId="4" borderId="3" xfId="0" applyFont="1" applyFill="1" applyBorder="1" applyAlignment="1" applyProtection="1">
      <alignment horizontal="center"/>
      <protection locked="0"/>
    </xf>
    <xf numFmtId="0" fontId="3" fillId="4" borderId="3" xfId="0" applyFont="1" applyFill="1" applyBorder="1" applyAlignment="1" applyProtection="1">
      <alignment horizontal="center" wrapText="1"/>
      <protection locked="0"/>
    </xf>
    <xf numFmtId="4" fontId="3" fillId="4" borderId="3" xfId="0" applyNumberFormat="1" applyFont="1" applyFill="1" applyBorder="1" applyAlignment="1" applyProtection="1">
      <alignment horizontal="right"/>
    </xf>
    <xf numFmtId="3" fontId="3" fillId="4" borderId="3" xfId="0" applyNumberFormat="1" applyFont="1" applyFill="1" applyBorder="1"/>
    <xf numFmtId="164" fontId="3" fillId="4" borderId="3" xfId="0" applyNumberFormat="1" applyFont="1" applyFill="1" applyBorder="1" applyAlignment="1">
      <alignment horizontal="center"/>
    </xf>
    <xf numFmtId="3" fontId="3" fillId="4" borderId="3" xfId="0" applyNumberFormat="1" applyFont="1" applyFill="1" applyBorder="1" applyAlignment="1">
      <alignment horizontal="right"/>
    </xf>
    <xf numFmtId="4" fontId="3" fillId="4" borderId="3" xfId="0" applyNumberFormat="1" applyFont="1" applyFill="1" applyBorder="1" applyAlignment="1">
      <alignment horizontal="center"/>
    </xf>
    <xf numFmtId="4" fontId="3" fillId="4" borderId="3" xfId="0" applyNumberFormat="1" applyFont="1" applyFill="1" applyBorder="1" applyAlignment="1" applyProtection="1">
      <alignment horizontal="right"/>
      <protection locked="0"/>
    </xf>
    <xf numFmtId="2" fontId="3" fillId="4" borderId="3" xfId="0" applyNumberFormat="1" applyFont="1" applyFill="1" applyBorder="1" applyProtection="1">
      <protection locked="0"/>
    </xf>
  </cellXfs>
  <cellStyles count="6">
    <cellStyle name="Comma" xfId="1" builtinId="3"/>
    <cellStyle name="Comma 2" xfId="2"/>
    <cellStyle name="Comma 3" xfId="3"/>
    <cellStyle name="Comma 4" xfId="4"/>
    <cellStyle name="Normal" xfId="0" builtinId="0"/>
    <cellStyle name="Normal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nhi\luong\luong2017_2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1"/>
      <sheetName val="T1HĐ"/>
      <sheetName val="T2"/>
      <sheetName val="T2HĐ"/>
      <sheetName val="NHT1+2"/>
      <sheetName val="NHT3"/>
      <sheetName val="T3"/>
      <sheetName val="T3HĐ "/>
      <sheetName val="T4"/>
      <sheetName val="T4HĐ"/>
      <sheetName val="NHT4"/>
      <sheetName val="T5"/>
      <sheetName val="T6"/>
      <sheetName val="T5HĐ"/>
      <sheetName val="T6 in"/>
      <sheetName val="NHT6"/>
      <sheetName val="T6HĐ "/>
      <sheetName val="T7 in "/>
      <sheetName val="Sheet2"/>
      <sheetName val="T7HĐ"/>
      <sheetName val="NHT7 "/>
      <sheetName val="T8HĐ"/>
      <sheetName val="T8 in "/>
      <sheetName val="T9 in "/>
      <sheetName val="T9 in  (2)"/>
      <sheetName val="T9HĐ"/>
      <sheetName val="NHT9"/>
      <sheetName val="T8HĐ "/>
      <sheetName val="NHT8"/>
      <sheetName val="NHT4+5"/>
      <sheetName val="NHtntt (2)"/>
      <sheetName val="NHT5"/>
      <sheetName val="tntt"/>
      <sheetName val="NHtntt"/>
      <sheetName val="T10"/>
      <sheetName val="T10HĐ"/>
      <sheetName val="NHT10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9">
          <cell r="U9">
            <v>52755.999999999993</v>
          </cell>
          <cell r="V9">
            <v>79133.999999999985</v>
          </cell>
          <cell r="W9">
            <v>422047.99999999994</v>
          </cell>
        </row>
        <row r="30">
          <cell r="T30">
            <v>4205960</v>
          </cell>
        </row>
        <row r="65">
          <cell r="E65">
            <v>147.30000000000004</v>
          </cell>
          <cell r="F65">
            <v>178233000</v>
          </cell>
          <cell r="G65">
            <v>62.813999999999993</v>
          </cell>
          <cell r="H65">
            <v>76004940</v>
          </cell>
          <cell r="I65">
            <v>6.3</v>
          </cell>
          <cell r="J65">
            <v>7623000</v>
          </cell>
          <cell r="K65">
            <v>10.999999999999993</v>
          </cell>
          <cell r="L65">
            <v>13310000</v>
          </cell>
          <cell r="M65">
            <v>4.3000000000000007</v>
          </cell>
          <cell r="N65">
            <v>5203000</v>
          </cell>
          <cell r="O65">
            <v>0.20299999999999999</v>
          </cell>
          <cell r="P65">
            <v>245629.99999999997</v>
          </cell>
          <cell r="Q65">
            <v>1.8000000000000005</v>
          </cell>
          <cell r="R65">
            <v>2178000</v>
          </cell>
          <cell r="S65">
            <v>-596640</v>
          </cell>
          <cell r="T65">
            <v>282200930</v>
          </cell>
          <cell r="U65">
            <v>1788622</v>
          </cell>
          <cell r="V65">
            <v>2787840</v>
          </cell>
          <cell r="W65">
            <v>14868480</v>
          </cell>
        </row>
      </sheetData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C118"/>
  <sheetViews>
    <sheetView tabSelected="1" topLeftCell="A5" workbookViewId="0">
      <pane ySplit="3" topLeftCell="A8" activePane="bottomLeft" state="frozen"/>
      <selection activeCell="A5" sqref="A5"/>
      <selection pane="bottomLeft" activeCell="G8" sqref="G8"/>
    </sheetView>
  </sheetViews>
  <sheetFormatPr defaultRowHeight="15" x14ac:dyDescent="0.25"/>
  <cols>
    <col min="1" max="1" width="3.7109375" style="2" customWidth="1"/>
    <col min="2" max="2" width="22" style="2" customWidth="1"/>
    <col min="3" max="3" width="7.5703125" style="2" customWidth="1"/>
    <col min="4" max="4" width="10.140625" style="98" customWidth="1"/>
    <col min="5" max="5" width="8.7109375" style="2" bestFit="1" customWidth="1"/>
    <col min="6" max="6" width="13" style="2" customWidth="1"/>
    <col min="7" max="7" width="8.140625" style="2" customWidth="1"/>
    <col min="8" max="8" width="11.7109375" style="2" customWidth="1"/>
    <col min="9" max="9" width="6.42578125" style="2" customWidth="1"/>
    <col min="10" max="10" width="11" style="2" customWidth="1"/>
    <col min="11" max="11" width="6.7109375" style="2" customWidth="1"/>
    <col min="12" max="12" width="11.5703125" style="2" customWidth="1"/>
    <col min="13" max="13" width="6.140625" style="2" customWidth="1"/>
    <col min="14" max="14" width="10.5703125" style="2" customWidth="1"/>
    <col min="15" max="15" width="7.140625" style="2" bestFit="1" customWidth="1"/>
    <col min="16" max="16" width="8.7109375" style="2" customWidth="1"/>
    <col min="17" max="17" width="6.140625" style="2" customWidth="1"/>
    <col min="18" max="19" width="10.5703125" style="2" customWidth="1"/>
    <col min="20" max="20" width="12.140625" style="2" customWidth="1"/>
    <col min="21" max="22" width="10.28515625" style="2" customWidth="1"/>
    <col min="23" max="23" width="11.5703125" style="2" customWidth="1"/>
    <col min="24" max="24" width="12.28515625" style="2" customWidth="1"/>
    <col min="25" max="25" width="11.7109375" style="2" bestFit="1" customWidth="1"/>
    <col min="26" max="26" width="9.7109375" style="2" bestFit="1" customWidth="1"/>
    <col min="27" max="27" width="9.28515625" style="2" bestFit="1" customWidth="1"/>
    <col min="28" max="28" width="10" style="2" bestFit="1" customWidth="1"/>
    <col min="29" max="29" width="9.28515625" style="2" bestFit="1" customWidth="1"/>
    <col min="30" max="16384" width="9.140625" style="2"/>
  </cols>
  <sheetData>
    <row r="1" spans="1:26" ht="24" customHeight="1" x14ac:dyDescent="0.25">
      <c r="A1" s="1" t="s">
        <v>0</v>
      </c>
      <c r="B1" s="1"/>
      <c r="C1" s="1"/>
      <c r="D1" s="1"/>
    </row>
    <row r="2" spans="1:26" ht="19.5" customHeight="1" x14ac:dyDescent="0.25">
      <c r="A2" s="1" t="s">
        <v>1</v>
      </c>
      <c r="B2" s="1"/>
      <c r="C2" s="1"/>
      <c r="D2" s="1"/>
    </row>
    <row r="3" spans="1:26" ht="26.25" customHeight="1" x14ac:dyDescent="0.3">
      <c r="A3" s="3" t="s">
        <v>2</v>
      </c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</row>
    <row r="4" spans="1:26" ht="18.75" customHeight="1" x14ac:dyDescent="0.25">
      <c r="A4" s="4"/>
      <c r="B4" s="4"/>
      <c r="C4" s="4"/>
      <c r="D4" s="5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6"/>
      <c r="X4" s="6"/>
    </row>
    <row r="5" spans="1:26" s="17" customFormat="1" ht="29.25" customHeight="1" x14ac:dyDescent="0.25">
      <c r="A5" s="7" t="s">
        <v>3</v>
      </c>
      <c r="B5" s="8" t="s">
        <v>4</v>
      </c>
      <c r="C5" s="9" t="s">
        <v>5</v>
      </c>
      <c r="D5" s="10" t="s">
        <v>6</v>
      </c>
      <c r="E5" s="11" t="s">
        <v>7</v>
      </c>
      <c r="F5" s="12" t="s">
        <v>8</v>
      </c>
      <c r="G5" s="13" t="s">
        <v>9</v>
      </c>
      <c r="H5" s="14"/>
      <c r="I5" s="13" t="s">
        <v>10</v>
      </c>
      <c r="J5" s="14"/>
      <c r="K5" s="13" t="s">
        <v>11</v>
      </c>
      <c r="L5" s="14"/>
      <c r="M5" s="13" t="s">
        <v>12</v>
      </c>
      <c r="N5" s="14"/>
      <c r="O5" s="13" t="s">
        <v>13</v>
      </c>
      <c r="P5" s="14"/>
      <c r="Q5" s="13" t="s">
        <v>14</v>
      </c>
      <c r="R5" s="14"/>
      <c r="S5" s="10" t="s">
        <v>15</v>
      </c>
      <c r="T5" s="11" t="s">
        <v>16</v>
      </c>
      <c r="U5" s="15">
        <v>0.01</v>
      </c>
      <c r="V5" s="15" t="s">
        <v>17</v>
      </c>
      <c r="W5" s="15">
        <v>0.08</v>
      </c>
      <c r="X5" s="9" t="s">
        <v>18</v>
      </c>
      <c r="Y5" s="16" t="s">
        <v>19</v>
      </c>
    </row>
    <row r="6" spans="1:26" s="17" customFormat="1" ht="70.5" customHeight="1" x14ac:dyDescent="0.25">
      <c r="A6" s="18"/>
      <c r="B6" s="8"/>
      <c r="C6" s="8"/>
      <c r="D6" s="19"/>
      <c r="E6" s="20" t="s">
        <v>20</v>
      </c>
      <c r="F6" s="20" t="s">
        <v>20</v>
      </c>
      <c r="G6" s="11" t="s">
        <v>21</v>
      </c>
      <c r="H6" s="11" t="s">
        <v>22</v>
      </c>
      <c r="I6" s="11" t="s">
        <v>21</v>
      </c>
      <c r="J6" s="11" t="s">
        <v>22</v>
      </c>
      <c r="K6" s="11" t="s">
        <v>21</v>
      </c>
      <c r="L6" s="11" t="s">
        <v>22</v>
      </c>
      <c r="M6" s="11" t="s">
        <v>21</v>
      </c>
      <c r="N6" s="11" t="s">
        <v>22</v>
      </c>
      <c r="O6" s="11" t="s">
        <v>21</v>
      </c>
      <c r="P6" s="11" t="s">
        <v>22</v>
      </c>
      <c r="Q6" s="11" t="s">
        <v>21</v>
      </c>
      <c r="R6" s="11" t="s">
        <v>22</v>
      </c>
      <c r="S6" s="18"/>
      <c r="T6" s="11" t="s">
        <v>23</v>
      </c>
      <c r="U6" s="11" t="s">
        <v>24</v>
      </c>
      <c r="V6" s="11" t="s">
        <v>25</v>
      </c>
      <c r="W6" s="11" t="s">
        <v>26</v>
      </c>
      <c r="X6" s="9"/>
      <c r="Y6" s="16"/>
    </row>
    <row r="7" spans="1:26" s="17" customFormat="1" ht="22.5" customHeight="1" x14ac:dyDescent="0.25">
      <c r="A7" s="11" t="s">
        <v>27</v>
      </c>
      <c r="B7" s="11" t="s">
        <v>28</v>
      </c>
      <c r="C7" s="11" t="s">
        <v>29</v>
      </c>
      <c r="D7" s="20"/>
      <c r="E7" s="11" t="s">
        <v>30</v>
      </c>
      <c r="F7" s="12" t="s">
        <v>31</v>
      </c>
      <c r="G7" s="11" t="s">
        <v>32</v>
      </c>
      <c r="H7" s="11" t="s">
        <v>33</v>
      </c>
      <c r="I7" s="11" t="s">
        <v>34</v>
      </c>
      <c r="J7" s="12" t="s">
        <v>35</v>
      </c>
      <c r="K7" s="11" t="s">
        <v>36</v>
      </c>
      <c r="L7" s="12" t="s">
        <v>37</v>
      </c>
      <c r="M7" s="11" t="s">
        <v>38</v>
      </c>
      <c r="N7" s="11" t="s">
        <v>39</v>
      </c>
      <c r="O7" s="11"/>
      <c r="P7" s="11"/>
      <c r="Q7" s="11" t="s">
        <v>40</v>
      </c>
      <c r="R7" s="11" t="s">
        <v>41</v>
      </c>
      <c r="S7" s="11"/>
      <c r="T7" s="11" t="s">
        <v>42</v>
      </c>
      <c r="U7" s="11" t="s">
        <v>43</v>
      </c>
      <c r="V7" s="11" t="s">
        <v>44</v>
      </c>
      <c r="W7" s="11" t="s">
        <v>45</v>
      </c>
      <c r="X7" s="11" t="s">
        <v>46</v>
      </c>
    </row>
    <row r="8" spans="1:26" ht="44.25" customHeight="1" x14ac:dyDescent="0.25">
      <c r="A8" s="21">
        <v>1</v>
      </c>
      <c r="B8" s="22" t="s">
        <v>47</v>
      </c>
      <c r="C8" s="23" t="s">
        <v>48</v>
      </c>
      <c r="D8" s="23" t="s">
        <v>49</v>
      </c>
      <c r="E8" s="24">
        <v>5.08</v>
      </c>
      <c r="F8" s="25">
        <f t="shared" ref="F8:F64" si="0">E8*1210000</f>
        <v>6146800</v>
      </c>
      <c r="G8" s="26">
        <f t="shared" ref="G8:G17" si="1">(E8+I8)*40%</f>
        <v>2.3120000000000003</v>
      </c>
      <c r="H8" s="27">
        <f t="shared" ref="H8:H64" si="2">G8*1210000</f>
        <v>2797520.0000000005</v>
      </c>
      <c r="I8" s="28">
        <v>0.7</v>
      </c>
      <c r="J8" s="25">
        <f t="shared" ref="J8:J64" si="3">I8*1210000</f>
        <v>847000</v>
      </c>
      <c r="K8" s="29">
        <v>0.2</v>
      </c>
      <c r="L8" s="25">
        <f t="shared" ref="L8:L64" si="4">K8*1210000</f>
        <v>242000</v>
      </c>
      <c r="M8" s="28"/>
      <c r="N8" s="25">
        <f t="shared" ref="N8:N64" si="5">M8*1210000</f>
        <v>0</v>
      </c>
      <c r="O8" s="25"/>
      <c r="P8" s="25">
        <f t="shared" ref="P8:P47" si="6">O8*1210000</f>
        <v>0</v>
      </c>
      <c r="Q8" s="29">
        <v>0.1</v>
      </c>
      <c r="R8" s="30">
        <f t="shared" ref="R8:R64" si="7">Q8*1210000</f>
        <v>121000</v>
      </c>
      <c r="S8" s="30">
        <v>-3281520</v>
      </c>
      <c r="T8" s="25">
        <f t="shared" ref="T8:T47" si="8">R8+N8+L8+J8+H8+F8+S8+P8</f>
        <v>6872800</v>
      </c>
      <c r="U8" s="31"/>
      <c r="V8" s="25">
        <f t="shared" ref="V8:V31" si="9">(E8+I8)*1210000*1.5%</f>
        <v>104907</v>
      </c>
      <c r="W8" s="25">
        <f t="shared" ref="W8:W31" si="10">(E8+I8)*1210000*8%</f>
        <v>559504</v>
      </c>
      <c r="X8" s="25">
        <f t="shared" ref="X8:X47" si="11">T8-U8-V8-W8</f>
        <v>6208389</v>
      </c>
      <c r="Y8" s="2" t="s">
        <v>50</v>
      </c>
      <c r="Z8" s="32">
        <v>-1640760</v>
      </c>
    </row>
    <row r="9" spans="1:26" s="33" customFormat="1" ht="44.25" customHeight="1" x14ac:dyDescent="0.25">
      <c r="A9" s="21">
        <v>2</v>
      </c>
      <c r="B9" s="22" t="s">
        <v>51</v>
      </c>
      <c r="C9" s="23" t="s">
        <v>52</v>
      </c>
      <c r="D9" s="23" t="s">
        <v>49</v>
      </c>
      <c r="E9" s="24">
        <v>3</v>
      </c>
      <c r="F9" s="25">
        <f t="shared" si="0"/>
        <v>3630000</v>
      </c>
      <c r="G9" s="26">
        <f t="shared" si="1"/>
        <v>1.32</v>
      </c>
      <c r="H9" s="27">
        <f t="shared" si="2"/>
        <v>1597200</v>
      </c>
      <c r="I9" s="28">
        <v>0.3</v>
      </c>
      <c r="J9" s="25">
        <f t="shared" si="3"/>
        <v>363000</v>
      </c>
      <c r="K9" s="29">
        <v>0.2</v>
      </c>
      <c r="L9" s="25">
        <f t="shared" si="4"/>
        <v>242000</v>
      </c>
      <c r="M9" s="29"/>
      <c r="N9" s="25">
        <f t="shared" si="5"/>
        <v>0</v>
      </c>
      <c r="O9" s="25"/>
      <c r="P9" s="25">
        <f t="shared" si="6"/>
        <v>0</v>
      </c>
      <c r="Q9" s="29"/>
      <c r="R9" s="30">
        <f t="shared" si="7"/>
        <v>0</v>
      </c>
      <c r="S9" s="30">
        <v>0</v>
      </c>
      <c r="T9" s="25">
        <f t="shared" si="8"/>
        <v>5832200</v>
      </c>
      <c r="U9" s="25">
        <f t="shared" ref="U9:U31" si="12">(E9+I9)*1210000*1%</f>
        <v>39930</v>
      </c>
      <c r="V9" s="25">
        <f t="shared" si="9"/>
        <v>59895</v>
      </c>
      <c r="W9" s="25">
        <f t="shared" si="10"/>
        <v>319440</v>
      </c>
      <c r="X9" s="25">
        <f t="shared" si="11"/>
        <v>5412935</v>
      </c>
      <c r="Z9" s="32">
        <v>0</v>
      </c>
    </row>
    <row r="10" spans="1:26" s="36" customFormat="1" ht="44.25" customHeight="1" x14ac:dyDescent="0.25">
      <c r="A10" s="21">
        <v>3</v>
      </c>
      <c r="B10" s="22" t="s">
        <v>53</v>
      </c>
      <c r="C10" s="34" t="s">
        <v>54</v>
      </c>
      <c r="D10" s="23" t="s">
        <v>49</v>
      </c>
      <c r="E10" s="24">
        <v>2.66</v>
      </c>
      <c r="F10" s="25">
        <f t="shared" si="0"/>
        <v>3218600</v>
      </c>
      <c r="G10" s="26">
        <f t="shared" si="1"/>
        <v>1.0640000000000001</v>
      </c>
      <c r="H10" s="27">
        <f t="shared" si="2"/>
        <v>1287440</v>
      </c>
      <c r="I10" s="28"/>
      <c r="J10" s="25">
        <f t="shared" si="3"/>
        <v>0</v>
      </c>
      <c r="K10" s="35">
        <v>0.2</v>
      </c>
      <c r="L10" s="25">
        <f t="shared" si="4"/>
        <v>242000</v>
      </c>
      <c r="M10" s="29"/>
      <c r="N10" s="25">
        <f t="shared" si="5"/>
        <v>0</v>
      </c>
      <c r="O10" s="25"/>
      <c r="P10" s="25">
        <f t="shared" si="6"/>
        <v>0</v>
      </c>
      <c r="Q10" s="35">
        <v>0.1</v>
      </c>
      <c r="R10" s="30">
        <f t="shared" si="7"/>
        <v>121000</v>
      </c>
      <c r="S10" s="30">
        <v>0</v>
      </c>
      <c r="T10" s="25">
        <f t="shared" si="8"/>
        <v>4869040</v>
      </c>
      <c r="U10" s="25">
        <f t="shared" si="12"/>
        <v>32186</v>
      </c>
      <c r="V10" s="25">
        <f t="shared" si="9"/>
        <v>48279</v>
      </c>
      <c r="W10" s="25">
        <f t="shared" si="10"/>
        <v>257488</v>
      </c>
      <c r="X10" s="25">
        <f t="shared" si="11"/>
        <v>4531087</v>
      </c>
      <c r="Z10" s="32">
        <v>0</v>
      </c>
    </row>
    <row r="11" spans="1:26" s="40" customFormat="1" ht="44.25" customHeight="1" x14ac:dyDescent="0.25">
      <c r="A11" s="21">
        <v>4</v>
      </c>
      <c r="B11" s="37" t="s">
        <v>55</v>
      </c>
      <c r="C11" s="34" t="s">
        <v>54</v>
      </c>
      <c r="D11" s="23" t="s">
        <v>49</v>
      </c>
      <c r="E11" s="38">
        <v>2.66</v>
      </c>
      <c r="F11" s="25">
        <f t="shared" si="0"/>
        <v>3218600</v>
      </c>
      <c r="G11" s="26">
        <f t="shared" si="1"/>
        <v>1.0640000000000001</v>
      </c>
      <c r="H11" s="27">
        <f t="shared" si="2"/>
        <v>1287440</v>
      </c>
      <c r="I11" s="39"/>
      <c r="J11" s="25">
        <f t="shared" si="3"/>
        <v>0</v>
      </c>
      <c r="K11" s="35">
        <v>0.2</v>
      </c>
      <c r="L11" s="25">
        <f t="shared" si="4"/>
        <v>242000</v>
      </c>
      <c r="M11" s="35"/>
      <c r="N11" s="25">
        <f t="shared" si="5"/>
        <v>0</v>
      </c>
      <c r="O11" s="25"/>
      <c r="P11" s="25">
        <f t="shared" si="6"/>
        <v>0</v>
      </c>
      <c r="Q11" s="35">
        <v>0.1</v>
      </c>
      <c r="R11" s="30">
        <f t="shared" si="7"/>
        <v>121000</v>
      </c>
      <c r="S11" s="30">
        <v>0</v>
      </c>
      <c r="T11" s="25">
        <f t="shared" si="8"/>
        <v>4869040</v>
      </c>
      <c r="U11" s="25">
        <f t="shared" si="12"/>
        <v>32186</v>
      </c>
      <c r="V11" s="25">
        <f t="shared" si="9"/>
        <v>48279</v>
      </c>
      <c r="W11" s="25">
        <f t="shared" si="10"/>
        <v>257488</v>
      </c>
      <c r="X11" s="25">
        <f t="shared" si="11"/>
        <v>4531087</v>
      </c>
      <c r="Z11" s="32">
        <v>0</v>
      </c>
    </row>
    <row r="12" spans="1:26" ht="38.25" customHeight="1" x14ac:dyDescent="0.25">
      <c r="A12" s="21">
        <v>5</v>
      </c>
      <c r="B12" s="37" t="s">
        <v>56</v>
      </c>
      <c r="C12" s="41" t="s">
        <v>57</v>
      </c>
      <c r="D12" s="23" t="s">
        <v>49</v>
      </c>
      <c r="E12" s="38">
        <v>3.99</v>
      </c>
      <c r="F12" s="25">
        <f t="shared" si="0"/>
        <v>4827900</v>
      </c>
      <c r="G12" s="42">
        <f t="shared" si="1"/>
        <v>1.7160000000000002</v>
      </c>
      <c r="H12" s="27">
        <f t="shared" si="2"/>
        <v>2076360.0000000002</v>
      </c>
      <c r="I12" s="39">
        <v>0.3</v>
      </c>
      <c r="J12" s="25">
        <f t="shared" si="3"/>
        <v>363000</v>
      </c>
      <c r="K12" s="35">
        <v>0.2</v>
      </c>
      <c r="L12" s="25">
        <f t="shared" si="4"/>
        <v>242000</v>
      </c>
      <c r="M12" s="35"/>
      <c r="N12" s="25">
        <f t="shared" si="5"/>
        <v>0</v>
      </c>
      <c r="O12" s="25"/>
      <c r="P12" s="25">
        <f t="shared" si="6"/>
        <v>0</v>
      </c>
      <c r="Q12" s="35">
        <v>0.1</v>
      </c>
      <c r="R12" s="30">
        <f t="shared" si="7"/>
        <v>121000</v>
      </c>
      <c r="S12" s="30">
        <v>0</v>
      </c>
      <c r="T12" s="25">
        <f t="shared" si="8"/>
        <v>7630260</v>
      </c>
      <c r="U12" s="25">
        <f t="shared" si="12"/>
        <v>51909</v>
      </c>
      <c r="V12" s="25">
        <f t="shared" si="9"/>
        <v>77863.5</v>
      </c>
      <c r="W12" s="25">
        <f t="shared" si="10"/>
        <v>415272</v>
      </c>
      <c r="X12" s="25">
        <f t="shared" si="11"/>
        <v>7085215.5</v>
      </c>
      <c r="Z12" s="32">
        <v>0</v>
      </c>
    </row>
    <row r="13" spans="1:26" ht="44.25" customHeight="1" x14ac:dyDescent="0.25">
      <c r="A13" s="21">
        <v>6</v>
      </c>
      <c r="B13" s="22" t="s">
        <v>58</v>
      </c>
      <c r="C13" s="34" t="s">
        <v>59</v>
      </c>
      <c r="D13" s="23" t="s">
        <v>49</v>
      </c>
      <c r="E13" s="24">
        <v>1.86</v>
      </c>
      <c r="F13" s="25">
        <f t="shared" si="0"/>
        <v>2250600</v>
      </c>
      <c r="G13" s="26">
        <f t="shared" si="1"/>
        <v>0.74400000000000011</v>
      </c>
      <c r="H13" s="27">
        <f t="shared" si="2"/>
        <v>900240.00000000012</v>
      </c>
      <c r="I13" s="28"/>
      <c r="J13" s="25">
        <f t="shared" si="3"/>
        <v>0</v>
      </c>
      <c r="K13" s="29">
        <v>0.2</v>
      </c>
      <c r="L13" s="25">
        <f t="shared" si="4"/>
        <v>242000</v>
      </c>
      <c r="M13" s="43"/>
      <c r="N13" s="25">
        <f t="shared" si="5"/>
        <v>0</v>
      </c>
      <c r="O13" s="25"/>
      <c r="P13" s="25">
        <f t="shared" si="6"/>
        <v>0</v>
      </c>
      <c r="Q13" s="43"/>
      <c r="R13" s="30">
        <f t="shared" si="7"/>
        <v>0</v>
      </c>
      <c r="S13" s="30">
        <v>0</v>
      </c>
      <c r="T13" s="25">
        <f t="shared" si="8"/>
        <v>3392840</v>
      </c>
      <c r="U13" s="25">
        <f t="shared" si="12"/>
        <v>22506</v>
      </c>
      <c r="V13" s="25">
        <f t="shared" si="9"/>
        <v>33759</v>
      </c>
      <c r="W13" s="25">
        <f t="shared" si="10"/>
        <v>180048</v>
      </c>
      <c r="X13" s="25">
        <f t="shared" si="11"/>
        <v>3156527</v>
      </c>
      <c r="Z13" s="32">
        <v>0</v>
      </c>
    </row>
    <row r="14" spans="1:26" ht="44.25" customHeight="1" x14ac:dyDescent="0.25">
      <c r="A14" s="21">
        <v>7</v>
      </c>
      <c r="B14" s="22" t="s">
        <v>60</v>
      </c>
      <c r="C14" s="23" t="s">
        <v>61</v>
      </c>
      <c r="D14" s="23" t="s">
        <v>49</v>
      </c>
      <c r="E14" s="24">
        <v>3.33</v>
      </c>
      <c r="F14" s="25">
        <f t="shared" si="0"/>
        <v>4029300</v>
      </c>
      <c r="G14" s="26">
        <f t="shared" si="1"/>
        <v>1.492</v>
      </c>
      <c r="H14" s="27">
        <f t="shared" si="2"/>
        <v>1805320</v>
      </c>
      <c r="I14" s="28">
        <v>0.4</v>
      </c>
      <c r="J14" s="25">
        <f t="shared" si="3"/>
        <v>484000</v>
      </c>
      <c r="K14" s="29">
        <v>0.2</v>
      </c>
      <c r="L14" s="25">
        <f t="shared" si="4"/>
        <v>242000</v>
      </c>
      <c r="M14" s="29"/>
      <c r="N14" s="25">
        <f t="shared" si="5"/>
        <v>0</v>
      </c>
      <c r="O14" s="25"/>
      <c r="P14" s="25">
        <f t="shared" si="6"/>
        <v>0</v>
      </c>
      <c r="Q14" s="29">
        <v>0.1</v>
      </c>
      <c r="R14" s="30">
        <f t="shared" si="7"/>
        <v>121000</v>
      </c>
      <c r="S14" s="30">
        <v>0</v>
      </c>
      <c r="T14" s="25">
        <f t="shared" si="8"/>
        <v>6681620</v>
      </c>
      <c r="U14" s="25">
        <f t="shared" si="12"/>
        <v>45133</v>
      </c>
      <c r="V14" s="25">
        <f t="shared" si="9"/>
        <v>67699.5</v>
      </c>
      <c r="W14" s="25">
        <f t="shared" si="10"/>
        <v>361064</v>
      </c>
      <c r="X14" s="25">
        <f t="shared" si="11"/>
        <v>6207723.5</v>
      </c>
      <c r="Z14" s="32">
        <v>0</v>
      </c>
    </row>
    <row r="15" spans="1:26" ht="44.25" customHeight="1" x14ac:dyDescent="0.25">
      <c r="A15" s="21">
        <v>8</v>
      </c>
      <c r="B15" s="22" t="s">
        <v>62</v>
      </c>
      <c r="C15" s="34" t="s">
        <v>63</v>
      </c>
      <c r="D15" s="23" t="s">
        <v>49</v>
      </c>
      <c r="E15" s="24">
        <v>2.0099999999999998</v>
      </c>
      <c r="F15" s="25">
        <f t="shared" si="0"/>
        <v>2432099.9999999995</v>
      </c>
      <c r="G15" s="26">
        <f t="shared" si="1"/>
        <v>0.80399999999999994</v>
      </c>
      <c r="H15" s="27">
        <f t="shared" si="2"/>
        <v>972839.99999999988</v>
      </c>
      <c r="I15" s="28"/>
      <c r="J15" s="25">
        <f t="shared" si="3"/>
        <v>0</v>
      </c>
      <c r="K15" s="29">
        <v>0.2</v>
      </c>
      <c r="L15" s="25">
        <f t="shared" si="4"/>
        <v>242000</v>
      </c>
      <c r="M15" s="29">
        <v>0.2</v>
      </c>
      <c r="N15" s="25">
        <f t="shared" si="5"/>
        <v>242000</v>
      </c>
      <c r="O15" s="25"/>
      <c r="P15" s="25">
        <f t="shared" si="6"/>
        <v>0</v>
      </c>
      <c r="Q15" s="29"/>
      <c r="R15" s="30">
        <f t="shared" si="7"/>
        <v>0</v>
      </c>
      <c r="S15" s="30">
        <v>-972839.99999999907</v>
      </c>
      <c r="T15" s="25">
        <f t="shared" si="8"/>
        <v>2916100.0000000005</v>
      </c>
      <c r="U15" s="25">
        <f t="shared" si="12"/>
        <v>24320.999999999996</v>
      </c>
      <c r="V15" s="25">
        <f t="shared" si="9"/>
        <v>36481.499999999993</v>
      </c>
      <c r="W15" s="25">
        <f t="shared" si="10"/>
        <v>194567.99999999997</v>
      </c>
      <c r="X15" s="25">
        <f t="shared" si="11"/>
        <v>2660729.5000000005</v>
      </c>
      <c r="Y15" s="2" t="s">
        <v>50</v>
      </c>
      <c r="Z15" s="32">
        <v>-486419.99999999953</v>
      </c>
    </row>
    <row r="16" spans="1:26" s="36" customFormat="1" ht="44.25" customHeight="1" x14ac:dyDescent="0.25">
      <c r="A16" s="21">
        <v>9</v>
      </c>
      <c r="B16" s="22" t="s">
        <v>64</v>
      </c>
      <c r="C16" s="34" t="s">
        <v>59</v>
      </c>
      <c r="D16" s="23" t="s">
        <v>49</v>
      </c>
      <c r="E16" s="24">
        <v>2.06</v>
      </c>
      <c r="F16" s="25">
        <f t="shared" si="0"/>
        <v>2492600</v>
      </c>
      <c r="G16" s="26">
        <f t="shared" si="1"/>
        <v>0.82400000000000007</v>
      </c>
      <c r="H16" s="27">
        <f t="shared" si="2"/>
        <v>997040.00000000012</v>
      </c>
      <c r="I16" s="28"/>
      <c r="J16" s="25">
        <f t="shared" si="3"/>
        <v>0</v>
      </c>
      <c r="K16" s="29">
        <v>0.2</v>
      </c>
      <c r="L16" s="25">
        <f t="shared" si="4"/>
        <v>242000</v>
      </c>
      <c r="M16" s="29"/>
      <c r="N16" s="25">
        <f t="shared" si="5"/>
        <v>0</v>
      </c>
      <c r="O16" s="25"/>
      <c r="P16" s="25">
        <f t="shared" si="6"/>
        <v>0</v>
      </c>
      <c r="Q16" s="29"/>
      <c r="R16" s="30">
        <f t="shared" si="7"/>
        <v>0</v>
      </c>
      <c r="S16" s="30">
        <v>0</v>
      </c>
      <c r="T16" s="25">
        <f t="shared" si="8"/>
        <v>3731640</v>
      </c>
      <c r="U16" s="25">
        <f t="shared" si="12"/>
        <v>24926</v>
      </c>
      <c r="V16" s="25">
        <f t="shared" si="9"/>
        <v>37389</v>
      </c>
      <c r="W16" s="25">
        <f t="shared" si="10"/>
        <v>199408</v>
      </c>
      <c r="X16" s="25">
        <f t="shared" si="11"/>
        <v>3469917</v>
      </c>
      <c r="Z16" s="32">
        <v>0</v>
      </c>
    </row>
    <row r="17" spans="1:29" s="33" customFormat="1" ht="44.25" customHeight="1" x14ac:dyDescent="0.25">
      <c r="A17" s="21">
        <v>10</v>
      </c>
      <c r="B17" s="22" t="s">
        <v>65</v>
      </c>
      <c r="C17" s="23" t="s">
        <v>66</v>
      </c>
      <c r="D17" s="23" t="s">
        <v>49</v>
      </c>
      <c r="E17" s="24">
        <v>2.67</v>
      </c>
      <c r="F17" s="25">
        <f t="shared" si="0"/>
        <v>3230700</v>
      </c>
      <c r="G17" s="26">
        <f t="shared" si="1"/>
        <v>1.0680000000000001</v>
      </c>
      <c r="H17" s="27">
        <f t="shared" si="2"/>
        <v>1292280</v>
      </c>
      <c r="I17" s="28"/>
      <c r="J17" s="25">
        <f t="shared" si="3"/>
        <v>0</v>
      </c>
      <c r="K17" s="29">
        <v>0.2</v>
      </c>
      <c r="L17" s="25">
        <f t="shared" si="4"/>
        <v>242000</v>
      </c>
      <c r="M17" s="29"/>
      <c r="N17" s="25">
        <f t="shared" si="5"/>
        <v>0</v>
      </c>
      <c r="O17" s="25"/>
      <c r="P17" s="25">
        <f t="shared" si="6"/>
        <v>0</v>
      </c>
      <c r="Q17" s="29"/>
      <c r="R17" s="30">
        <f t="shared" si="7"/>
        <v>0</v>
      </c>
      <c r="S17" s="30">
        <v>0</v>
      </c>
      <c r="T17" s="25">
        <f t="shared" si="8"/>
        <v>4764980</v>
      </c>
      <c r="U17" s="25">
        <f t="shared" si="12"/>
        <v>32307</v>
      </c>
      <c r="V17" s="25">
        <f t="shared" si="9"/>
        <v>48460.5</v>
      </c>
      <c r="W17" s="25">
        <f t="shared" si="10"/>
        <v>258456</v>
      </c>
      <c r="X17" s="25">
        <f t="shared" si="11"/>
        <v>4425756.5</v>
      </c>
      <c r="Z17" s="32">
        <v>0</v>
      </c>
    </row>
    <row r="18" spans="1:29" ht="44.25" customHeight="1" x14ac:dyDescent="0.25">
      <c r="A18" s="21">
        <v>11</v>
      </c>
      <c r="B18" s="22" t="s">
        <v>67</v>
      </c>
      <c r="C18" s="34" t="s">
        <v>68</v>
      </c>
      <c r="D18" s="23" t="s">
        <v>69</v>
      </c>
      <c r="E18" s="24">
        <v>4.9800000000000004</v>
      </c>
      <c r="F18" s="25">
        <f t="shared" si="0"/>
        <v>6025800.0000000009</v>
      </c>
      <c r="G18" s="26">
        <f>(E18+I18)*70%</f>
        <v>3.7660000000000005</v>
      </c>
      <c r="H18" s="27">
        <f t="shared" si="2"/>
        <v>4556860.0000000009</v>
      </c>
      <c r="I18" s="39">
        <v>0.4</v>
      </c>
      <c r="J18" s="25">
        <f t="shared" si="3"/>
        <v>484000</v>
      </c>
      <c r="K18" s="29">
        <v>0.2</v>
      </c>
      <c r="L18" s="25">
        <f t="shared" si="4"/>
        <v>242000</v>
      </c>
      <c r="M18" s="29">
        <v>0.4</v>
      </c>
      <c r="N18" s="25">
        <f t="shared" si="5"/>
        <v>484000</v>
      </c>
      <c r="O18" s="25"/>
      <c r="P18" s="25">
        <f t="shared" si="6"/>
        <v>0</v>
      </c>
      <c r="Q18" s="29"/>
      <c r="R18" s="30">
        <f t="shared" si="7"/>
        <v>0</v>
      </c>
      <c r="S18" s="30">
        <v>0</v>
      </c>
      <c r="T18" s="25">
        <f t="shared" si="8"/>
        <v>11792660.000000002</v>
      </c>
      <c r="U18" s="25">
        <f t="shared" si="12"/>
        <v>65098.000000000007</v>
      </c>
      <c r="V18" s="25">
        <f t="shared" si="9"/>
        <v>97647.000000000015</v>
      </c>
      <c r="W18" s="25">
        <f t="shared" si="10"/>
        <v>520784.00000000006</v>
      </c>
      <c r="X18" s="25">
        <f t="shared" si="11"/>
        <v>11109131.000000002</v>
      </c>
      <c r="Z18" s="32">
        <v>0</v>
      </c>
    </row>
    <row r="19" spans="1:29" ht="44.25" customHeight="1" x14ac:dyDescent="0.25">
      <c r="A19" s="21">
        <v>12</v>
      </c>
      <c r="B19" s="22" t="s">
        <v>70</v>
      </c>
      <c r="C19" s="23" t="s">
        <v>71</v>
      </c>
      <c r="D19" s="23" t="s">
        <v>69</v>
      </c>
      <c r="E19" s="24">
        <v>1.86</v>
      </c>
      <c r="F19" s="25">
        <f t="shared" si="0"/>
        <v>2250600</v>
      </c>
      <c r="G19" s="26">
        <f>(E19+I19)*40%</f>
        <v>0.74400000000000011</v>
      </c>
      <c r="H19" s="27">
        <f t="shared" si="2"/>
        <v>900240.00000000012</v>
      </c>
      <c r="I19" s="28"/>
      <c r="J19" s="25">
        <f t="shared" si="3"/>
        <v>0</v>
      </c>
      <c r="K19" s="29">
        <v>0.2</v>
      </c>
      <c r="L19" s="25">
        <f t="shared" si="4"/>
        <v>242000</v>
      </c>
      <c r="M19" s="29">
        <v>0.2</v>
      </c>
      <c r="N19" s="25">
        <f t="shared" si="5"/>
        <v>242000</v>
      </c>
      <c r="O19" s="25"/>
      <c r="P19" s="25">
        <f t="shared" si="6"/>
        <v>0</v>
      </c>
      <c r="Q19" s="29"/>
      <c r="R19" s="30">
        <f t="shared" si="7"/>
        <v>0</v>
      </c>
      <c r="S19" s="30">
        <v>0</v>
      </c>
      <c r="T19" s="25">
        <f t="shared" si="8"/>
        <v>3634840</v>
      </c>
      <c r="U19" s="25">
        <f t="shared" si="12"/>
        <v>22506</v>
      </c>
      <c r="V19" s="25">
        <f t="shared" si="9"/>
        <v>33759</v>
      </c>
      <c r="W19" s="25">
        <f t="shared" si="10"/>
        <v>180048</v>
      </c>
      <c r="X19" s="25">
        <f t="shared" si="11"/>
        <v>3398527</v>
      </c>
      <c r="Z19" s="32">
        <v>0</v>
      </c>
    </row>
    <row r="20" spans="1:29" ht="44.25" customHeight="1" x14ac:dyDescent="0.25">
      <c r="A20" s="21">
        <v>13</v>
      </c>
      <c r="B20" s="22" t="s">
        <v>72</v>
      </c>
      <c r="C20" s="23" t="s">
        <v>73</v>
      </c>
      <c r="D20" s="23" t="s">
        <v>69</v>
      </c>
      <c r="E20" s="24">
        <v>2.34</v>
      </c>
      <c r="F20" s="25">
        <f t="shared" si="0"/>
        <v>2831400</v>
      </c>
      <c r="G20" s="26">
        <f>(E20+I20)*40%</f>
        <v>0.93599999999999994</v>
      </c>
      <c r="H20" s="27">
        <f t="shared" si="2"/>
        <v>1132560</v>
      </c>
      <c r="I20" s="28"/>
      <c r="J20" s="25">
        <f t="shared" si="3"/>
        <v>0</v>
      </c>
      <c r="K20" s="29">
        <v>0.2</v>
      </c>
      <c r="L20" s="25">
        <f t="shared" si="4"/>
        <v>242000</v>
      </c>
      <c r="M20" s="29">
        <v>0.4</v>
      </c>
      <c r="N20" s="25">
        <f t="shared" si="5"/>
        <v>484000</v>
      </c>
      <c r="O20" s="25"/>
      <c r="P20" s="25">
        <f t="shared" si="6"/>
        <v>0</v>
      </c>
      <c r="Q20" s="29"/>
      <c r="R20" s="30">
        <f t="shared" si="7"/>
        <v>0</v>
      </c>
      <c r="S20" s="30">
        <v>0</v>
      </c>
      <c r="T20" s="25">
        <f t="shared" si="8"/>
        <v>4689960</v>
      </c>
      <c r="U20" s="25">
        <f t="shared" si="12"/>
        <v>28314</v>
      </c>
      <c r="V20" s="25">
        <f t="shared" si="9"/>
        <v>42471</v>
      </c>
      <c r="W20" s="25">
        <f t="shared" si="10"/>
        <v>226512</v>
      </c>
      <c r="X20" s="25">
        <f t="shared" si="11"/>
        <v>4392663</v>
      </c>
      <c r="Z20" s="32">
        <v>0</v>
      </c>
    </row>
    <row r="21" spans="1:29" ht="44.25" customHeight="1" x14ac:dyDescent="0.25">
      <c r="A21" s="21">
        <v>14</v>
      </c>
      <c r="B21" s="44" t="s">
        <v>74</v>
      </c>
      <c r="C21" s="45" t="s">
        <v>52</v>
      </c>
      <c r="D21" s="23" t="s">
        <v>69</v>
      </c>
      <c r="E21" s="46">
        <v>2.67</v>
      </c>
      <c r="F21" s="25">
        <f t="shared" si="0"/>
        <v>3230700</v>
      </c>
      <c r="G21" s="26">
        <f>(E21+I21)*70%</f>
        <v>2.0789999999999997</v>
      </c>
      <c r="H21" s="27">
        <f t="shared" si="2"/>
        <v>2515589.9999999995</v>
      </c>
      <c r="I21" s="28">
        <v>0.3</v>
      </c>
      <c r="J21" s="25">
        <f t="shared" si="3"/>
        <v>363000</v>
      </c>
      <c r="K21" s="29">
        <v>0.2</v>
      </c>
      <c r="L21" s="25">
        <f t="shared" si="4"/>
        <v>242000</v>
      </c>
      <c r="M21" s="43">
        <v>0.4</v>
      </c>
      <c r="N21" s="25">
        <f t="shared" si="5"/>
        <v>484000</v>
      </c>
      <c r="O21" s="25"/>
      <c r="P21" s="25">
        <f t="shared" si="6"/>
        <v>0</v>
      </c>
      <c r="Q21" s="43"/>
      <c r="R21" s="30">
        <f t="shared" si="7"/>
        <v>0</v>
      </c>
      <c r="S21" s="30">
        <v>0</v>
      </c>
      <c r="T21" s="25">
        <f t="shared" si="8"/>
        <v>6835290</v>
      </c>
      <c r="U21" s="25">
        <f t="shared" si="12"/>
        <v>35936.999999999993</v>
      </c>
      <c r="V21" s="25">
        <f t="shared" si="9"/>
        <v>53905.499999999993</v>
      </c>
      <c r="W21" s="25">
        <f t="shared" si="10"/>
        <v>287495.99999999994</v>
      </c>
      <c r="X21" s="25">
        <f t="shared" si="11"/>
        <v>6457951.5</v>
      </c>
      <c r="Z21" s="32">
        <v>0</v>
      </c>
    </row>
    <row r="22" spans="1:29" s="33" customFormat="1" ht="44.25" customHeight="1" x14ac:dyDescent="0.25">
      <c r="A22" s="21">
        <v>15</v>
      </c>
      <c r="B22" s="22" t="s">
        <v>75</v>
      </c>
      <c r="C22" s="34" t="s">
        <v>76</v>
      </c>
      <c r="D22" s="23" t="s">
        <v>69</v>
      </c>
      <c r="E22" s="24">
        <v>1.83</v>
      </c>
      <c r="F22" s="25">
        <f t="shared" si="0"/>
        <v>2214300</v>
      </c>
      <c r="G22" s="26">
        <f>(E22+I22)*70%</f>
        <v>1.2809999999999999</v>
      </c>
      <c r="H22" s="27">
        <f t="shared" si="2"/>
        <v>1550010</v>
      </c>
      <c r="I22" s="28"/>
      <c r="J22" s="25">
        <f t="shared" si="3"/>
        <v>0</v>
      </c>
      <c r="K22" s="29">
        <v>0.2</v>
      </c>
      <c r="L22" s="25">
        <f t="shared" si="4"/>
        <v>242000</v>
      </c>
      <c r="M22" s="29">
        <v>0.4</v>
      </c>
      <c r="N22" s="25">
        <f t="shared" si="5"/>
        <v>484000</v>
      </c>
      <c r="O22" s="25"/>
      <c r="P22" s="25">
        <f t="shared" si="6"/>
        <v>0</v>
      </c>
      <c r="Q22" s="25"/>
      <c r="R22" s="30">
        <f t="shared" si="7"/>
        <v>0</v>
      </c>
      <c r="S22" s="30">
        <f>906290*2</f>
        <v>1812580</v>
      </c>
      <c r="T22" s="25">
        <f t="shared" si="8"/>
        <v>6302890</v>
      </c>
      <c r="U22" s="25">
        <f t="shared" si="12"/>
        <v>22143</v>
      </c>
      <c r="V22" s="25">
        <f t="shared" si="9"/>
        <v>33214.5</v>
      </c>
      <c r="W22" s="25">
        <f t="shared" si="10"/>
        <v>177144</v>
      </c>
      <c r="X22" s="25">
        <f t="shared" si="11"/>
        <v>6070388.5</v>
      </c>
      <c r="Z22" s="32">
        <v>0</v>
      </c>
      <c r="AA22" s="33">
        <v>3584020</v>
      </c>
      <c r="AB22" s="47">
        <f>+T22-AA22</f>
        <v>2718870</v>
      </c>
    </row>
    <row r="23" spans="1:29" s="33" customFormat="1" ht="44.25" customHeight="1" x14ac:dyDescent="0.25">
      <c r="A23" s="21">
        <v>16</v>
      </c>
      <c r="B23" s="22" t="s">
        <v>77</v>
      </c>
      <c r="C23" s="23" t="s">
        <v>78</v>
      </c>
      <c r="D23" s="23" t="s">
        <v>69</v>
      </c>
      <c r="E23" s="24">
        <v>2.06</v>
      </c>
      <c r="F23" s="25">
        <f t="shared" si="0"/>
        <v>2492600</v>
      </c>
      <c r="G23" s="26">
        <f t="shared" ref="G23:G28" si="13">(E23+I23)*40%</f>
        <v>0.82400000000000007</v>
      </c>
      <c r="H23" s="27">
        <f t="shared" si="2"/>
        <v>997040.00000000012</v>
      </c>
      <c r="I23" s="28"/>
      <c r="J23" s="25">
        <f t="shared" si="3"/>
        <v>0</v>
      </c>
      <c r="K23" s="29">
        <v>0.2</v>
      </c>
      <c r="L23" s="25">
        <f t="shared" si="4"/>
        <v>242000</v>
      </c>
      <c r="M23" s="29">
        <v>0.4</v>
      </c>
      <c r="N23" s="25">
        <f t="shared" si="5"/>
        <v>484000</v>
      </c>
      <c r="O23" s="25"/>
      <c r="P23" s="25">
        <f t="shared" si="6"/>
        <v>0</v>
      </c>
      <c r="Q23" s="29"/>
      <c r="R23" s="30">
        <f t="shared" si="7"/>
        <v>0</v>
      </c>
      <c r="S23" s="30">
        <v>0</v>
      </c>
      <c r="T23" s="25">
        <f t="shared" si="8"/>
        <v>4215640</v>
      </c>
      <c r="U23" s="25">
        <f t="shared" si="12"/>
        <v>24926</v>
      </c>
      <c r="V23" s="25">
        <f t="shared" si="9"/>
        <v>37389</v>
      </c>
      <c r="W23" s="25">
        <f t="shared" si="10"/>
        <v>199408</v>
      </c>
      <c r="X23" s="25">
        <f t="shared" si="11"/>
        <v>3953917</v>
      </c>
      <c r="Z23" s="32">
        <v>0</v>
      </c>
    </row>
    <row r="24" spans="1:29" ht="44.25" customHeight="1" x14ac:dyDescent="0.25">
      <c r="A24" s="21">
        <v>17</v>
      </c>
      <c r="B24" s="22" t="s">
        <v>79</v>
      </c>
      <c r="C24" s="34" t="s">
        <v>80</v>
      </c>
      <c r="D24" s="23" t="s">
        <v>81</v>
      </c>
      <c r="E24" s="24">
        <v>3</v>
      </c>
      <c r="F24" s="25">
        <f t="shared" si="0"/>
        <v>3630000</v>
      </c>
      <c r="G24" s="26">
        <f t="shared" si="13"/>
        <v>1.36</v>
      </c>
      <c r="H24" s="27">
        <f t="shared" si="2"/>
        <v>1645600.0000000002</v>
      </c>
      <c r="I24" s="28">
        <v>0.4</v>
      </c>
      <c r="J24" s="25">
        <f t="shared" si="3"/>
        <v>484000</v>
      </c>
      <c r="K24" s="29">
        <v>0.2</v>
      </c>
      <c r="L24" s="25">
        <f t="shared" si="4"/>
        <v>242000</v>
      </c>
      <c r="M24" s="29"/>
      <c r="N24" s="25">
        <f t="shared" si="5"/>
        <v>0</v>
      </c>
      <c r="O24" s="25"/>
      <c r="P24" s="25">
        <f t="shared" si="6"/>
        <v>0</v>
      </c>
      <c r="Q24" s="29"/>
      <c r="R24" s="30">
        <f t="shared" si="7"/>
        <v>0</v>
      </c>
      <c r="S24" s="30">
        <v>0</v>
      </c>
      <c r="T24" s="25">
        <f t="shared" si="8"/>
        <v>6001600</v>
      </c>
      <c r="U24" s="25">
        <f t="shared" si="12"/>
        <v>41140</v>
      </c>
      <c r="V24" s="25">
        <f t="shared" si="9"/>
        <v>61710</v>
      </c>
      <c r="W24" s="25">
        <f t="shared" si="10"/>
        <v>329120</v>
      </c>
      <c r="X24" s="25">
        <f t="shared" si="11"/>
        <v>5569630</v>
      </c>
      <c r="Z24" s="32">
        <v>0</v>
      </c>
    </row>
    <row r="25" spans="1:29" ht="44.25" customHeight="1" x14ac:dyDescent="0.25">
      <c r="A25" s="21">
        <v>18</v>
      </c>
      <c r="B25" s="22" t="s">
        <v>82</v>
      </c>
      <c r="C25" s="34" t="s">
        <v>83</v>
      </c>
      <c r="D25" s="23" t="s">
        <v>81</v>
      </c>
      <c r="E25" s="48">
        <v>3</v>
      </c>
      <c r="F25" s="25">
        <f t="shared" si="0"/>
        <v>3630000</v>
      </c>
      <c r="G25" s="26">
        <f t="shared" si="13"/>
        <v>1.2000000000000002</v>
      </c>
      <c r="H25" s="27">
        <f t="shared" si="2"/>
        <v>1452000.0000000002</v>
      </c>
      <c r="I25" s="49"/>
      <c r="J25" s="25">
        <f t="shared" si="3"/>
        <v>0</v>
      </c>
      <c r="K25" s="29">
        <v>0.2</v>
      </c>
      <c r="L25" s="25">
        <f t="shared" si="4"/>
        <v>242000</v>
      </c>
      <c r="M25" s="50">
        <v>0.2</v>
      </c>
      <c r="N25" s="25">
        <f t="shared" si="5"/>
        <v>242000</v>
      </c>
      <c r="O25" s="25"/>
      <c r="P25" s="25">
        <f t="shared" si="6"/>
        <v>0</v>
      </c>
      <c r="Q25" s="50"/>
      <c r="R25" s="30">
        <f t="shared" si="7"/>
        <v>0</v>
      </c>
      <c r="S25" s="30">
        <v>0</v>
      </c>
      <c r="T25" s="25">
        <f t="shared" si="8"/>
        <v>5566000</v>
      </c>
      <c r="U25" s="25">
        <f t="shared" si="12"/>
        <v>36300</v>
      </c>
      <c r="V25" s="25">
        <f t="shared" si="9"/>
        <v>54450</v>
      </c>
      <c r="W25" s="25">
        <f t="shared" si="10"/>
        <v>290400</v>
      </c>
      <c r="X25" s="25">
        <f t="shared" si="11"/>
        <v>5184850</v>
      </c>
      <c r="Z25" s="32">
        <v>0</v>
      </c>
    </row>
    <row r="26" spans="1:29" ht="44.25" customHeight="1" x14ac:dyDescent="0.25">
      <c r="A26" s="21">
        <v>19</v>
      </c>
      <c r="B26" s="22" t="s">
        <v>84</v>
      </c>
      <c r="C26" s="34" t="s">
        <v>85</v>
      </c>
      <c r="D26" s="23" t="s">
        <v>81</v>
      </c>
      <c r="E26" s="24">
        <v>2.2599999999999998</v>
      </c>
      <c r="F26" s="25">
        <f t="shared" si="0"/>
        <v>2734599.9999999995</v>
      </c>
      <c r="G26" s="26">
        <f t="shared" si="13"/>
        <v>0.90399999999999991</v>
      </c>
      <c r="H26" s="27">
        <f t="shared" si="2"/>
        <v>1093840</v>
      </c>
      <c r="I26" s="28"/>
      <c r="J26" s="25">
        <f t="shared" si="3"/>
        <v>0</v>
      </c>
      <c r="K26" s="29">
        <v>0.2</v>
      </c>
      <c r="L26" s="25">
        <f t="shared" si="4"/>
        <v>242000</v>
      </c>
      <c r="M26" s="43"/>
      <c r="N26" s="25">
        <f t="shared" si="5"/>
        <v>0</v>
      </c>
      <c r="O26" s="25"/>
      <c r="P26" s="25">
        <f t="shared" si="6"/>
        <v>0</v>
      </c>
      <c r="Q26" s="43"/>
      <c r="R26" s="30">
        <f t="shared" si="7"/>
        <v>0</v>
      </c>
      <c r="S26" s="30">
        <v>0</v>
      </c>
      <c r="T26" s="25">
        <f t="shared" si="8"/>
        <v>4070439.9999999995</v>
      </c>
      <c r="U26" s="25">
        <f t="shared" si="12"/>
        <v>27345.999999999996</v>
      </c>
      <c r="V26" s="25">
        <f t="shared" si="9"/>
        <v>41018.999999999993</v>
      </c>
      <c r="W26" s="25">
        <f t="shared" si="10"/>
        <v>218767.99999999997</v>
      </c>
      <c r="X26" s="25">
        <f t="shared" si="11"/>
        <v>3783306.9999999995</v>
      </c>
      <c r="Z26" s="32">
        <v>0</v>
      </c>
    </row>
    <row r="27" spans="1:29" ht="44.25" customHeight="1" x14ac:dyDescent="0.25">
      <c r="A27" s="21">
        <v>20</v>
      </c>
      <c r="B27" s="22" t="s">
        <v>86</v>
      </c>
      <c r="C27" s="34" t="s">
        <v>59</v>
      </c>
      <c r="D27" s="23" t="s">
        <v>81</v>
      </c>
      <c r="E27" s="24">
        <v>2.06</v>
      </c>
      <c r="F27" s="25">
        <f t="shared" si="0"/>
        <v>2492600</v>
      </c>
      <c r="G27" s="26">
        <f t="shared" si="13"/>
        <v>0.82400000000000007</v>
      </c>
      <c r="H27" s="27">
        <f t="shared" si="2"/>
        <v>997040.00000000012</v>
      </c>
      <c r="I27" s="28"/>
      <c r="J27" s="25">
        <f t="shared" si="3"/>
        <v>0</v>
      </c>
      <c r="K27" s="29">
        <v>0.2</v>
      </c>
      <c r="L27" s="25">
        <f t="shared" si="4"/>
        <v>242000</v>
      </c>
      <c r="M27" s="28">
        <v>0.2</v>
      </c>
      <c r="N27" s="25">
        <f t="shared" si="5"/>
        <v>242000</v>
      </c>
      <c r="O27" s="25"/>
      <c r="P27" s="25">
        <f t="shared" si="6"/>
        <v>0</v>
      </c>
      <c r="Q27" s="25"/>
      <c r="R27" s="30">
        <f t="shared" si="7"/>
        <v>0</v>
      </c>
      <c r="S27" s="30">
        <v>0</v>
      </c>
      <c r="T27" s="25">
        <f t="shared" si="8"/>
        <v>3973640</v>
      </c>
      <c r="U27" s="25">
        <f t="shared" si="12"/>
        <v>24926</v>
      </c>
      <c r="V27" s="25">
        <f t="shared" si="9"/>
        <v>37389</v>
      </c>
      <c r="W27" s="25">
        <f t="shared" si="10"/>
        <v>199408</v>
      </c>
      <c r="X27" s="25">
        <f t="shared" si="11"/>
        <v>3711917</v>
      </c>
      <c r="Z27" s="32">
        <v>0</v>
      </c>
    </row>
    <row r="28" spans="1:29" ht="44.25" customHeight="1" x14ac:dyDescent="0.25">
      <c r="A28" s="21">
        <v>21</v>
      </c>
      <c r="B28" s="22" t="s">
        <v>87</v>
      </c>
      <c r="C28" s="34" t="s">
        <v>85</v>
      </c>
      <c r="D28" s="23" t="s">
        <v>81</v>
      </c>
      <c r="E28" s="24">
        <v>2.06</v>
      </c>
      <c r="F28" s="25">
        <f t="shared" si="0"/>
        <v>2492600</v>
      </c>
      <c r="G28" s="26">
        <f t="shared" si="13"/>
        <v>0.82400000000000007</v>
      </c>
      <c r="H28" s="27">
        <f t="shared" si="2"/>
        <v>997040.00000000012</v>
      </c>
      <c r="I28" s="28"/>
      <c r="J28" s="25">
        <f t="shared" si="3"/>
        <v>0</v>
      </c>
      <c r="K28" s="29">
        <v>0.2</v>
      </c>
      <c r="L28" s="25">
        <f t="shared" si="4"/>
        <v>242000</v>
      </c>
      <c r="M28" s="29"/>
      <c r="N28" s="25">
        <f t="shared" si="5"/>
        <v>0</v>
      </c>
      <c r="O28" s="25"/>
      <c r="P28" s="25">
        <f t="shared" si="6"/>
        <v>0</v>
      </c>
      <c r="Q28" s="29"/>
      <c r="R28" s="30">
        <f t="shared" si="7"/>
        <v>0</v>
      </c>
      <c r="S28" s="30">
        <v>0</v>
      </c>
      <c r="T28" s="25">
        <f t="shared" si="8"/>
        <v>3731640</v>
      </c>
      <c r="U28" s="25">
        <f t="shared" si="12"/>
        <v>24926</v>
      </c>
      <c r="V28" s="25">
        <f t="shared" si="9"/>
        <v>37389</v>
      </c>
      <c r="W28" s="25">
        <f t="shared" si="10"/>
        <v>199408</v>
      </c>
      <c r="X28" s="25">
        <f t="shared" si="11"/>
        <v>3469917</v>
      </c>
      <c r="Z28" s="32">
        <v>0</v>
      </c>
    </row>
    <row r="29" spans="1:29" ht="44.25" customHeight="1" x14ac:dyDescent="0.25">
      <c r="A29" s="21">
        <v>22</v>
      </c>
      <c r="B29" s="22" t="s">
        <v>88</v>
      </c>
      <c r="C29" s="34" t="s">
        <v>89</v>
      </c>
      <c r="D29" s="23" t="s">
        <v>90</v>
      </c>
      <c r="E29" s="24">
        <v>3.66</v>
      </c>
      <c r="F29" s="25">
        <f t="shared" si="0"/>
        <v>4428600</v>
      </c>
      <c r="G29" s="26">
        <f>(E29+I29)*60%</f>
        <v>2.496</v>
      </c>
      <c r="H29" s="27">
        <f t="shared" si="2"/>
        <v>3020160</v>
      </c>
      <c r="I29" s="28">
        <v>0.5</v>
      </c>
      <c r="J29" s="25">
        <f t="shared" si="3"/>
        <v>605000</v>
      </c>
      <c r="K29" s="29">
        <v>0.2</v>
      </c>
      <c r="L29" s="25">
        <f t="shared" si="4"/>
        <v>242000</v>
      </c>
      <c r="M29" s="29"/>
      <c r="N29" s="25">
        <f t="shared" si="5"/>
        <v>0</v>
      </c>
      <c r="O29" s="25"/>
      <c r="P29" s="25">
        <f t="shared" si="6"/>
        <v>0</v>
      </c>
      <c r="Q29" s="29">
        <v>0.3</v>
      </c>
      <c r="R29" s="30">
        <f t="shared" si="7"/>
        <v>363000</v>
      </c>
      <c r="S29" s="30">
        <v>-1248720</v>
      </c>
      <c r="T29" s="25">
        <f t="shared" si="8"/>
        <v>7410040</v>
      </c>
      <c r="U29" s="25">
        <f t="shared" si="12"/>
        <v>50336</v>
      </c>
      <c r="V29" s="25">
        <f t="shared" si="9"/>
        <v>75504</v>
      </c>
      <c r="W29" s="25">
        <f t="shared" si="10"/>
        <v>402688</v>
      </c>
      <c r="X29" s="25">
        <f t="shared" si="11"/>
        <v>6881512</v>
      </c>
      <c r="Y29" s="2" t="s">
        <v>50</v>
      </c>
      <c r="Z29" s="32">
        <v>-624360</v>
      </c>
    </row>
    <row r="30" spans="1:29" ht="44.25" customHeight="1" x14ac:dyDescent="0.25">
      <c r="A30" s="21">
        <v>23</v>
      </c>
      <c r="B30" s="22" t="s">
        <v>91</v>
      </c>
      <c r="C30" s="34" t="s">
        <v>76</v>
      </c>
      <c r="D30" s="23" t="s">
        <v>90</v>
      </c>
      <c r="E30" s="24">
        <v>2.0099999999999998</v>
      </c>
      <c r="F30" s="25">
        <f t="shared" si="0"/>
        <v>2432099.9999999995</v>
      </c>
      <c r="G30" s="26">
        <f>(E30+I30)*60%</f>
        <v>1.2059999999999997</v>
      </c>
      <c r="H30" s="27">
        <f t="shared" si="2"/>
        <v>1459259.9999999998</v>
      </c>
      <c r="I30" s="28"/>
      <c r="J30" s="25">
        <f t="shared" si="3"/>
        <v>0</v>
      </c>
      <c r="K30" s="29">
        <v>0.2</v>
      </c>
      <c r="L30" s="25">
        <f t="shared" si="4"/>
        <v>242000</v>
      </c>
      <c r="M30" s="29">
        <v>0.2</v>
      </c>
      <c r="N30" s="25">
        <f t="shared" si="5"/>
        <v>242000</v>
      </c>
      <c r="O30" s="25"/>
      <c r="P30" s="25">
        <f t="shared" si="6"/>
        <v>0</v>
      </c>
      <c r="Q30" s="29"/>
      <c r="R30" s="30">
        <f t="shared" si="7"/>
        <v>0</v>
      </c>
      <c r="S30" s="30">
        <v>-970420.00000000186</v>
      </c>
      <c r="T30" s="25">
        <f t="shared" si="8"/>
        <v>3404939.9999999972</v>
      </c>
      <c r="U30" s="25">
        <f t="shared" si="12"/>
        <v>24320.999999999996</v>
      </c>
      <c r="V30" s="25">
        <f t="shared" si="9"/>
        <v>36481.499999999993</v>
      </c>
      <c r="W30" s="25">
        <f t="shared" si="10"/>
        <v>194567.99999999997</v>
      </c>
      <c r="X30" s="25">
        <f t="shared" si="11"/>
        <v>3149569.4999999972</v>
      </c>
      <c r="Y30" s="2" t="s">
        <v>50</v>
      </c>
      <c r="Z30" s="32">
        <v>-485210.00000000093</v>
      </c>
    </row>
    <row r="31" spans="1:29" s="36" customFormat="1" ht="44.25" customHeight="1" x14ac:dyDescent="0.25">
      <c r="A31" s="21">
        <v>24</v>
      </c>
      <c r="B31" s="22" t="s">
        <v>92</v>
      </c>
      <c r="C31" s="34" t="s">
        <v>93</v>
      </c>
      <c r="D31" s="23" t="s">
        <v>90</v>
      </c>
      <c r="E31" s="24">
        <v>2.2599999999999998</v>
      </c>
      <c r="F31" s="25">
        <f t="shared" si="0"/>
        <v>2734599.9999999995</v>
      </c>
      <c r="G31" s="26">
        <f>(E31+I31)*60%</f>
        <v>1.5359999999999998</v>
      </c>
      <c r="H31" s="27">
        <f t="shared" si="2"/>
        <v>1858559.9999999998</v>
      </c>
      <c r="I31" s="28">
        <v>0.3</v>
      </c>
      <c r="J31" s="25">
        <f t="shared" si="3"/>
        <v>363000</v>
      </c>
      <c r="K31" s="29">
        <v>0.2</v>
      </c>
      <c r="L31" s="25">
        <f t="shared" si="4"/>
        <v>242000</v>
      </c>
      <c r="M31" s="28"/>
      <c r="N31" s="25">
        <f t="shared" si="5"/>
        <v>0</v>
      </c>
      <c r="O31" s="25"/>
      <c r="P31" s="25">
        <f t="shared" si="6"/>
        <v>0</v>
      </c>
      <c r="Q31" s="29">
        <v>0.3</v>
      </c>
      <c r="R31" s="30">
        <f t="shared" si="7"/>
        <v>363000</v>
      </c>
      <c r="S31" s="30">
        <v>0</v>
      </c>
      <c r="T31" s="25">
        <f t="shared" si="8"/>
        <v>5561160</v>
      </c>
      <c r="U31" s="25">
        <f t="shared" si="12"/>
        <v>30975.999999999996</v>
      </c>
      <c r="V31" s="25">
        <f t="shared" si="9"/>
        <v>46463.999999999993</v>
      </c>
      <c r="W31" s="25">
        <f t="shared" si="10"/>
        <v>247807.99999999997</v>
      </c>
      <c r="X31" s="25">
        <f t="shared" si="11"/>
        <v>5235912</v>
      </c>
      <c r="Z31" s="32">
        <v>0</v>
      </c>
    </row>
    <row r="32" spans="1:29" ht="44.25" customHeight="1" x14ac:dyDescent="0.25">
      <c r="A32" s="21">
        <v>25</v>
      </c>
      <c r="B32" s="22" t="s">
        <v>94</v>
      </c>
      <c r="C32" s="34" t="s">
        <v>57</v>
      </c>
      <c r="D32" s="23" t="s">
        <v>90</v>
      </c>
      <c r="E32" s="24">
        <v>4.0599999999999996</v>
      </c>
      <c r="F32" s="25">
        <f t="shared" si="0"/>
        <v>4912599.9999999991</v>
      </c>
      <c r="G32" s="26">
        <f>(E32+I32+O32)*60%</f>
        <v>2.7377999999999996</v>
      </c>
      <c r="H32" s="27">
        <f t="shared" si="2"/>
        <v>3312737.9999999995</v>
      </c>
      <c r="I32" s="28">
        <v>0.3</v>
      </c>
      <c r="J32" s="25">
        <f t="shared" si="3"/>
        <v>363000</v>
      </c>
      <c r="K32" s="29">
        <v>0.2</v>
      </c>
      <c r="L32" s="25">
        <f t="shared" si="4"/>
        <v>242000</v>
      </c>
      <c r="M32" s="29"/>
      <c r="N32" s="25">
        <f t="shared" si="5"/>
        <v>0</v>
      </c>
      <c r="O32" s="51">
        <f>E32*5%</f>
        <v>0.20299999999999999</v>
      </c>
      <c r="P32" s="25">
        <f t="shared" si="6"/>
        <v>245629.99999999997</v>
      </c>
      <c r="Q32" s="29">
        <v>0.3</v>
      </c>
      <c r="R32" s="30">
        <f t="shared" si="7"/>
        <v>363000</v>
      </c>
      <c r="S32" s="30">
        <f>294756.000000004/2*10-25791.1500000001*10</f>
        <v>1215868.5000000191</v>
      </c>
      <c r="T32" s="25">
        <f t="shared" si="8"/>
        <v>10654836.500000019</v>
      </c>
      <c r="U32" s="25">
        <f>(E32+I32+O32)*1210000*1%</f>
        <v>55212.3</v>
      </c>
      <c r="V32" s="25">
        <f>(E32+I32+O32)*1210000*1.5%</f>
        <v>82818.45</v>
      </c>
      <c r="W32" s="25">
        <f>(E32+I32+O32)*1210000*8%</f>
        <v>441698.4</v>
      </c>
      <c r="X32" s="25">
        <f t="shared" si="11"/>
        <v>10075107.350000018</v>
      </c>
      <c r="Y32" s="2" t="s">
        <v>95</v>
      </c>
      <c r="Z32" s="32">
        <v>147378.00000000186</v>
      </c>
      <c r="AA32" s="32">
        <f>+U32+V32+W32</f>
        <v>579729.15</v>
      </c>
      <c r="AB32" s="32">
        <f>+'[1]T9 in '!U9+'[1]T9 in '!V9+'[1]T9 in '!W9</f>
        <v>553937.99999999988</v>
      </c>
      <c r="AC32" s="32">
        <f>+AA32-AB32</f>
        <v>25791.15000000014</v>
      </c>
    </row>
    <row r="33" spans="1:28" ht="44.25" customHeight="1" x14ac:dyDescent="0.25">
      <c r="A33" s="21">
        <v>26</v>
      </c>
      <c r="B33" s="22" t="s">
        <v>96</v>
      </c>
      <c r="C33" s="34" t="s">
        <v>59</v>
      </c>
      <c r="D33" s="23" t="s">
        <v>90</v>
      </c>
      <c r="E33" s="24">
        <v>2.06</v>
      </c>
      <c r="F33" s="25">
        <f t="shared" si="0"/>
        <v>2492600</v>
      </c>
      <c r="G33" s="26">
        <f>(E33+I33)*60%</f>
        <v>1.236</v>
      </c>
      <c r="H33" s="27">
        <f t="shared" si="2"/>
        <v>1495560</v>
      </c>
      <c r="I33" s="28"/>
      <c r="J33" s="25">
        <f t="shared" si="3"/>
        <v>0</v>
      </c>
      <c r="K33" s="29">
        <v>0.2</v>
      </c>
      <c r="L33" s="25">
        <f t="shared" si="4"/>
        <v>242000</v>
      </c>
      <c r="M33" s="28"/>
      <c r="N33" s="25">
        <f t="shared" si="5"/>
        <v>0</v>
      </c>
      <c r="O33" s="25"/>
      <c r="P33" s="25">
        <f t="shared" si="6"/>
        <v>0</v>
      </c>
      <c r="Q33" s="43">
        <v>0.3</v>
      </c>
      <c r="R33" s="30">
        <f t="shared" si="7"/>
        <v>363000</v>
      </c>
      <c r="S33" s="30">
        <v>1723040</v>
      </c>
      <c r="T33" s="25">
        <f t="shared" si="8"/>
        <v>6316200</v>
      </c>
      <c r="U33" s="25">
        <f t="shared" ref="U33:U64" si="14">(E33+I33)*1210000*1%</f>
        <v>24926</v>
      </c>
      <c r="V33" s="25">
        <f t="shared" ref="V33:V64" si="15">(E33+I33)*1210000*1.5%</f>
        <v>37389</v>
      </c>
      <c r="W33" s="25">
        <f t="shared" ref="W33:W64" si="16">(E33+I33)*1210000*8%</f>
        <v>199408</v>
      </c>
      <c r="X33" s="25">
        <f t="shared" si="11"/>
        <v>6054477</v>
      </c>
      <c r="Y33" s="2" t="s">
        <v>50</v>
      </c>
      <c r="Z33" s="32">
        <v>861520</v>
      </c>
    </row>
    <row r="34" spans="1:28" ht="44.25" customHeight="1" x14ac:dyDescent="0.25">
      <c r="A34" s="21">
        <v>27</v>
      </c>
      <c r="B34" s="22" t="s">
        <v>97</v>
      </c>
      <c r="C34" s="52" t="s">
        <v>98</v>
      </c>
      <c r="D34" s="23" t="s">
        <v>99</v>
      </c>
      <c r="E34" s="24">
        <v>3.99</v>
      </c>
      <c r="F34" s="25">
        <f t="shared" si="0"/>
        <v>4827900</v>
      </c>
      <c r="G34" s="26">
        <f t="shared" ref="G34:G39" si="17">(E34+I34)*40%</f>
        <v>1.7560000000000002</v>
      </c>
      <c r="H34" s="27">
        <f t="shared" si="2"/>
        <v>2124760.0000000005</v>
      </c>
      <c r="I34" s="28">
        <v>0.4</v>
      </c>
      <c r="J34" s="25">
        <f t="shared" si="3"/>
        <v>484000</v>
      </c>
      <c r="K34" s="29">
        <v>0.2</v>
      </c>
      <c r="L34" s="25">
        <f t="shared" si="4"/>
        <v>242000</v>
      </c>
      <c r="M34" s="29">
        <v>0.1</v>
      </c>
      <c r="N34" s="25">
        <f t="shared" si="5"/>
        <v>121000</v>
      </c>
      <c r="O34" s="25"/>
      <c r="P34" s="25">
        <f t="shared" si="6"/>
        <v>0</v>
      </c>
      <c r="Q34" s="29"/>
      <c r="R34" s="30">
        <f t="shared" si="7"/>
        <v>0</v>
      </c>
      <c r="S34" s="30">
        <v>0</v>
      </c>
      <c r="T34" s="25">
        <f t="shared" si="8"/>
        <v>7799660</v>
      </c>
      <c r="U34" s="25">
        <f t="shared" si="14"/>
        <v>53119.000000000007</v>
      </c>
      <c r="V34" s="25">
        <f t="shared" si="15"/>
        <v>79678.500000000015</v>
      </c>
      <c r="W34" s="25">
        <f t="shared" si="16"/>
        <v>424952.00000000006</v>
      </c>
      <c r="X34" s="25">
        <f t="shared" si="11"/>
        <v>7241910.5</v>
      </c>
      <c r="Z34" s="32">
        <v>0</v>
      </c>
    </row>
    <row r="35" spans="1:28" s="36" customFormat="1" ht="44.25" customHeight="1" x14ac:dyDescent="0.25">
      <c r="A35" s="21">
        <v>28</v>
      </c>
      <c r="B35" s="22" t="s">
        <v>100</v>
      </c>
      <c r="C35" s="34" t="s">
        <v>59</v>
      </c>
      <c r="D35" s="23" t="s">
        <v>99</v>
      </c>
      <c r="E35" s="24">
        <v>2.06</v>
      </c>
      <c r="F35" s="25">
        <f t="shared" si="0"/>
        <v>2492600</v>
      </c>
      <c r="G35" s="26">
        <f t="shared" si="17"/>
        <v>0.82400000000000007</v>
      </c>
      <c r="H35" s="27">
        <f t="shared" si="2"/>
        <v>997040.00000000012</v>
      </c>
      <c r="I35" s="28"/>
      <c r="J35" s="25">
        <f t="shared" si="3"/>
        <v>0</v>
      </c>
      <c r="K35" s="29">
        <v>0.2</v>
      </c>
      <c r="L35" s="25">
        <f t="shared" si="4"/>
        <v>242000</v>
      </c>
      <c r="M35" s="29"/>
      <c r="N35" s="25">
        <f t="shared" si="5"/>
        <v>0</v>
      </c>
      <c r="O35" s="25"/>
      <c r="P35" s="25">
        <f t="shared" si="6"/>
        <v>0</v>
      </c>
      <c r="Q35" s="29"/>
      <c r="R35" s="30">
        <f t="shared" si="7"/>
        <v>0</v>
      </c>
      <c r="S35" s="30">
        <v>0</v>
      </c>
      <c r="T35" s="25">
        <f t="shared" si="8"/>
        <v>3731640</v>
      </c>
      <c r="U35" s="25">
        <f t="shared" si="14"/>
        <v>24926</v>
      </c>
      <c r="V35" s="25">
        <f t="shared" si="15"/>
        <v>37389</v>
      </c>
      <c r="W35" s="25">
        <f t="shared" si="16"/>
        <v>199408</v>
      </c>
      <c r="X35" s="25">
        <f t="shared" si="11"/>
        <v>3469917</v>
      </c>
      <c r="Z35" s="32">
        <v>0</v>
      </c>
    </row>
    <row r="36" spans="1:28" ht="44.25" customHeight="1" x14ac:dyDescent="0.25">
      <c r="A36" s="21">
        <v>29</v>
      </c>
      <c r="B36" s="22" t="s">
        <v>101</v>
      </c>
      <c r="C36" s="34" t="s">
        <v>59</v>
      </c>
      <c r="D36" s="23" t="s">
        <v>99</v>
      </c>
      <c r="E36" s="24">
        <v>2.2599999999999998</v>
      </c>
      <c r="F36" s="25">
        <f t="shared" si="0"/>
        <v>2734599.9999999995</v>
      </c>
      <c r="G36" s="26">
        <f t="shared" si="17"/>
        <v>1.0239999999999998</v>
      </c>
      <c r="H36" s="27">
        <f t="shared" si="2"/>
        <v>1239039.9999999998</v>
      </c>
      <c r="I36" s="28">
        <v>0.3</v>
      </c>
      <c r="J36" s="25">
        <f t="shared" si="3"/>
        <v>363000</v>
      </c>
      <c r="K36" s="29">
        <v>0.2</v>
      </c>
      <c r="L36" s="25">
        <f t="shared" si="4"/>
        <v>242000</v>
      </c>
      <c r="M36" s="28"/>
      <c r="N36" s="25">
        <f t="shared" si="5"/>
        <v>0</v>
      </c>
      <c r="O36" s="25"/>
      <c r="P36" s="25">
        <f t="shared" si="6"/>
        <v>0</v>
      </c>
      <c r="Q36" s="25"/>
      <c r="R36" s="30">
        <f t="shared" si="7"/>
        <v>0</v>
      </c>
      <c r="S36" s="30">
        <v>0</v>
      </c>
      <c r="T36" s="25">
        <f t="shared" si="8"/>
        <v>4578639.9999999991</v>
      </c>
      <c r="U36" s="25">
        <f t="shared" si="14"/>
        <v>30975.999999999996</v>
      </c>
      <c r="V36" s="25">
        <f t="shared" si="15"/>
        <v>46463.999999999993</v>
      </c>
      <c r="W36" s="25">
        <f t="shared" si="16"/>
        <v>247807.99999999997</v>
      </c>
      <c r="X36" s="25">
        <f t="shared" si="11"/>
        <v>4253391.9999999991</v>
      </c>
      <c r="Z36" s="32">
        <v>0</v>
      </c>
    </row>
    <row r="37" spans="1:28" ht="44.25" customHeight="1" x14ac:dyDescent="0.25">
      <c r="A37" s="21">
        <v>30</v>
      </c>
      <c r="B37" s="22" t="s">
        <v>102</v>
      </c>
      <c r="C37" s="23" t="s">
        <v>66</v>
      </c>
      <c r="D37" s="23" t="s">
        <v>99</v>
      </c>
      <c r="E37" s="24">
        <v>2.34</v>
      </c>
      <c r="F37" s="25">
        <f t="shared" si="0"/>
        <v>2831400</v>
      </c>
      <c r="G37" s="26">
        <f t="shared" si="17"/>
        <v>0.93599999999999994</v>
      </c>
      <c r="H37" s="27">
        <f t="shared" si="2"/>
        <v>1132560</v>
      </c>
      <c r="I37" s="28"/>
      <c r="J37" s="25">
        <f t="shared" si="3"/>
        <v>0</v>
      </c>
      <c r="K37" s="29">
        <v>0.2</v>
      </c>
      <c r="L37" s="25">
        <f t="shared" si="4"/>
        <v>242000</v>
      </c>
      <c r="M37" s="29"/>
      <c r="N37" s="25">
        <f t="shared" si="5"/>
        <v>0</v>
      </c>
      <c r="O37" s="25"/>
      <c r="P37" s="25">
        <f t="shared" si="6"/>
        <v>0</v>
      </c>
      <c r="Q37" s="29"/>
      <c r="R37" s="30">
        <f t="shared" si="7"/>
        <v>0</v>
      </c>
      <c r="S37" s="30">
        <v>0</v>
      </c>
      <c r="T37" s="25">
        <f t="shared" si="8"/>
        <v>4205960</v>
      </c>
      <c r="U37" s="25">
        <f t="shared" si="14"/>
        <v>28314</v>
      </c>
      <c r="V37" s="25">
        <f t="shared" si="15"/>
        <v>42471</v>
      </c>
      <c r="W37" s="25">
        <f t="shared" si="16"/>
        <v>226512</v>
      </c>
      <c r="X37" s="25">
        <f t="shared" si="11"/>
        <v>3908663</v>
      </c>
      <c r="Z37" s="32">
        <v>0</v>
      </c>
    </row>
    <row r="38" spans="1:28" ht="44.25" customHeight="1" x14ac:dyDescent="0.25">
      <c r="A38" s="21">
        <v>31</v>
      </c>
      <c r="B38" s="22" t="s">
        <v>103</v>
      </c>
      <c r="C38" s="34" t="s">
        <v>104</v>
      </c>
      <c r="D38" s="23" t="s">
        <v>99</v>
      </c>
      <c r="E38" s="24">
        <v>2.2599999999999998</v>
      </c>
      <c r="F38" s="25">
        <f t="shared" si="0"/>
        <v>2734599.9999999995</v>
      </c>
      <c r="G38" s="26">
        <f t="shared" si="17"/>
        <v>0.90399999999999991</v>
      </c>
      <c r="H38" s="27">
        <f t="shared" si="2"/>
        <v>1093840</v>
      </c>
      <c r="I38" s="28"/>
      <c r="J38" s="25">
        <f t="shared" si="3"/>
        <v>0</v>
      </c>
      <c r="K38" s="29">
        <v>0.2</v>
      </c>
      <c r="L38" s="25">
        <f t="shared" si="4"/>
        <v>242000</v>
      </c>
      <c r="M38" s="29"/>
      <c r="N38" s="25">
        <f t="shared" si="5"/>
        <v>0</v>
      </c>
      <c r="O38" s="25"/>
      <c r="P38" s="25">
        <f t="shared" si="6"/>
        <v>0</v>
      </c>
      <c r="Q38" s="29">
        <v>0</v>
      </c>
      <c r="R38" s="30">
        <f t="shared" si="7"/>
        <v>0</v>
      </c>
      <c r="S38" s="30">
        <v>-1819840.0000000009</v>
      </c>
      <c r="T38" s="25">
        <f t="shared" si="8"/>
        <v>2250599.9999999986</v>
      </c>
      <c r="U38" s="25">
        <f t="shared" si="14"/>
        <v>27345.999999999996</v>
      </c>
      <c r="V38" s="25">
        <f t="shared" si="15"/>
        <v>41018.999999999993</v>
      </c>
      <c r="W38" s="25">
        <f t="shared" si="16"/>
        <v>218767.99999999997</v>
      </c>
      <c r="X38" s="25">
        <f t="shared" si="11"/>
        <v>1963466.9999999986</v>
      </c>
      <c r="Y38" s="2" t="s">
        <v>50</v>
      </c>
      <c r="Z38" s="32">
        <v>-909920.00000000047</v>
      </c>
    </row>
    <row r="39" spans="1:28" ht="44.25" customHeight="1" x14ac:dyDescent="0.25">
      <c r="A39" s="21">
        <v>32</v>
      </c>
      <c r="B39" s="22" t="s">
        <v>105</v>
      </c>
      <c r="C39" s="34" t="s">
        <v>59</v>
      </c>
      <c r="D39" s="23" t="s">
        <v>99</v>
      </c>
      <c r="E39" s="24">
        <v>2.06</v>
      </c>
      <c r="F39" s="25">
        <f t="shared" si="0"/>
        <v>2492600</v>
      </c>
      <c r="G39" s="26">
        <f t="shared" si="17"/>
        <v>0.82400000000000007</v>
      </c>
      <c r="H39" s="27">
        <f t="shared" si="2"/>
        <v>997040.00000000012</v>
      </c>
      <c r="I39" s="28"/>
      <c r="J39" s="25">
        <f t="shared" si="3"/>
        <v>0</v>
      </c>
      <c r="K39" s="29"/>
      <c r="L39" s="25">
        <f t="shared" si="4"/>
        <v>0</v>
      </c>
      <c r="M39" s="29"/>
      <c r="N39" s="25">
        <f t="shared" si="5"/>
        <v>0</v>
      </c>
      <c r="O39" s="25"/>
      <c r="P39" s="25">
        <f t="shared" si="6"/>
        <v>0</v>
      </c>
      <c r="Q39" s="29"/>
      <c r="R39" s="30">
        <f t="shared" si="7"/>
        <v>0</v>
      </c>
      <c r="S39" s="30">
        <v>0</v>
      </c>
      <c r="T39" s="25">
        <f t="shared" si="8"/>
        <v>3489640</v>
      </c>
      <c r="U39" s="25">
        <f t="shared" si="14"/>
        <v>24926</v>
      </c>
      <c r="V39" s="25">
        <f t="shared" si="15"/>
        <v>37389</v>
      </c>
      <c r="W39" s="25">
        <f t="shared" si="16"/>
        <v>199408</v>
      </c>
      <c r="X39" s="25">
        <f t="shared" si="11"/>
        <v>3227917</v>
      </c>
      <c r="Z39" s="32">
        <v>0</v>
      </c>
    </row>
    <row r="40" spans="1:28" s="40" customFormat="1" ht="44.25" customHeight="1" x14ac:dyDescent="0.25">
      <c r="A40" s="21">
        <v>33</v>
      </c>
      <c r="B40" s="22" t="s">
        <v>106</v>
      </c>
      <c r="C40" s="34" t="s">
        <v>66</v>
      </c>
      <c r="D40" s="23" t="s">
        <v>99</v>
      </c>
      <c r="E40" s="24">
        <v>2.34</v>
      </c>
      <c r="F40" s="25">
        <f t="shared" si="0"/>
        <v>2831400</v>
      </c>
      <c r="G40" s="26"/>
      <c r="H40" s="27">
        <f t="shared" si="2"/>
        <v>0</v>
      </c>
      <c r="I40" s="28"/>
      <c r="J40" s="25">
        <f t="shared" si="3"/>
        <v>0</v>
      </c>
      <c r="K40" s="29"/>
      <c r="L40" s="25">
        <f t="shared" si="4"/>
        <v>0</v>
      </c>
      <c r="M40" s="29"/>
      <c r="N40" s="25">
        <f t="shared" si="5"/>
        <v>0</v>
      </c>
      <c r="O40" s="25"/>
      <c r="P40" s="25">
        <f t="shared" si="6"/>
        <v>0</v>
      </c>
      <c r="Q40" s="29"/>
      <c r="R40" s="30">
        <f t="shared" si="7"/>
        <v>0</v>
      </c>
      <c r="S40" s="30">
        <v>-1374560</v>
      </c>
      <c r="T40" s="25">
        <f t="shared" si="8"/>
        <v>1456840</v>
      </c>
      <c r="U40" s="25">
        <f t="shared" si="14"/>
        <v>28314</v>
      </c>
      <c r="V40" s="25">
        <f t="shared" si="15"/>
        <v>42471</v>
      </c>
      <c r="W40" s="25">
        <f t="shared" si="16"/>
        <v>226512</v>
      </c>
      <c r="X40" s="25">
        <f t="shared" si="11"/>
        <v>1159543</v>
      </c>
      <c r="Y40" s="40" t="s">
        <v>107</v>
      </c>
      <c r="Z40" s="32">
        <v>0</v>
      </c>
      <c r="AA40" s="53">
        <f>+'[1]T9 in '!T30</f>
        <v>4205960</v>
      </c>
      <c r="AB40" s="53">
        <f>+T40-AA40</f>
        <v>-2749120</v>
      </c>
    </row>
    <row r="41" spans="1:28" s="54" customFormat="1" ht="44.25" customHeight="1" x14ac:dyDescent="0.25">
      <c r="A41" s="21">
        <v>34</v>
      </c>
      <c r="B41" s="22" t="s">
        <v>108</v>
      </c>
      <c r="C41" s="34" t="s">
        <v>109</v>
      </c>
      <c r="D41" s="23" t="s">
        <v>99</v>
      </c>
      <c r="E41" s="24">
        <v>2.2599999999999998</v>
      </c>
      <c r="F41" s="25">
        <f t="shared" si="0"/>
        <v>2734599.9999999995</v>
      </c>
      <c r="G41" s="26">
        <f>(E41+I41)*40%</f>
        <v>0.90399999999999991</v>
      </c>
      <c r="H41" s="27">
        <f t="shared" si="2"/>
        <v>1093840</v>
      </c>
      <c r="I41" s="28"/>
      <c r="J41" s="25">
        <f t="shared" si="3"/>
        <v>0</v>
      </c>
      <c r="K41" s="29">
        <v>0.2</v>
      </c>
      <c r="L41" s="25">
        <f t="shared" si="4"/>
        <v>242000</v>
      </c>
      <c r="M41" s="28"/>
      <c r="N41" s="25">
        <f t="shared" si="5"/>
        <v>0</v>
      </c>
      <c r="O41" s="25"/>
      <c r="P41" s="25">
        <f t="shared" si="6"/>
        <v>0</v>
      </c>
      <c r="Q41" s="30"/>
      <c r="R41" s="30">
        <f t="shared" si="7"/>
        <v>0</v>
      </c>
      <c r="S41" s="30">
        <v>0</v>
      </c>
      <c r="T41" s="25">
        <f t="shared" si="8"/>
        <v>4070439.9999999995</v>
      </c>
      <c r="U41" s="25">
        <f t="shared" si="14"/>
        <v>27345.999999999996</v>
      </c>
      <c r="V41" s="25">
        <f t="shared" si="15"/>
        <v>41018.999999999993</v>
      </c>
      <c r="W41" s="25">
        <f t="shared" si="16"/>
        <v>218767.99999999997</v>
      </c>
      <c r="X41" s="25">
        <f t="shared" si="11"/>
        <v>3783306.9999999995</v>
      </c>
      <c r="Z41" s="32">
        <v>0</v>
      </c>
    </row>
    <row r="42" spans="1:28" ht="44.25" customHeight="1" x14ac:dyDescent="0.25">
      <c r="A42" s="21">
        <v>35</v>
      </c>
      <c r="B42" s="37" t="s">
        <v>110</v>
      </c>
      <c r="C42" s="41" t="s">
        <v>80</v>
      </c>
      <c r="D42" s="23" t="s">
        <v>111</v>
      </c>
      <c r="E42" s="38">
        <v>4.32</v>
      </c>
      <c r="F42" s="25">
        <f t="shared" si="0"/>
        <v>5227200</v>
      </c>
      <c r="G42" s="42">
        <f>(E42+I42)*70%</f>
        <v>3.3040000000000003</v>
      </c>
      <c r="H42" s="27">
        <f t="shared" si="2"/>
        <v>3997840.0000000005</v>
      </c>
      <c r="I42" s="39">
        <v>0.4</v>
      </c>
      <c r="J42" s="25">
        <f t="shared" si="3"/>
        <v>484000</v>
      </c>
      <c r="K42" s="35">
        <v>0.2</v>
      </c>
      <c r="L42" s="25">
        <f t="shared" si="4"/>
        <v>242000</v>
      </c>
      <c r="M42" s="29">
        <v>0.4</v>
      </c>
      <c r="N42" s="25">
        <f t="shared" si="5"/>
        <v>484000</v>
      </c>
      <c r="O42" s="25"/>
      <c r="P42" s="25">
        <f t="shared" si="6"/>
        <v>0</v>
      </c>
      <c r="Q42" s="29"/>
      <c r="R42" s="30">
        <f t="shared" si="7"/>
        <v>0</v>
      </c>
      <c r="S42" s="30">
        <v>3426720</v>
      </c>
      <c r="T42" s="25">
        <f t="shared" si="8"/>
        <v>13861760</v>
      </c>
      <c r="U42" s="25">
        <f t="shared" si="14"/>
        <v>57112.000000000007</v>
      </c>
      <c r="V42" s="25">
        <f t="shared" si="15"/>
        <v>85668.000000000015</v>
      </c>
      <c r="W42" s="25">
        <f t="shared" si="16"/>
        <v>456896.00000000006</v>
      </c>
      <c r="X42" s="25">
        <f t="shared" si="11"/>
        <v>13262084</v>
      </c>
      <c r="Y42" s="2" t="s">
        <v>50</v>
      </c>
      <c r="Z42" s="32">
        <v>1713360</v>
      </c>
    </row>
    <row r="43" spans="1:28" ht="44.25" customHeight="1" x14ac:dyDescent="0.25">
      <c r="A43" s="21">
        <v>36</v>
      </c>
      <c r="B43" s="22" t="s">
        <v>112</v>
      </c>
      <c r="C43" s="23" t="s">
        <v>52</v>
      </c>
      <c r="D43" s="23" t="s">
        <v>113</v>
      </c>
      <c r="E43" s="24">
        <v>2.67</v>
      </c>
      <c r="F43" s="25">
        <f t="shared" si="0"/>
        <v>3230700</v>
      </c>
      <c r="G43" s="26"/>
      <c r="H43" s="27">
        <f t="shared" si="2"/>
        <v>0</v>
      </c>
      <c r="I43" s="28">
        <v>0.3</v>
      </c>
      <c r="J43" s="25">
        <f t="shared" si="3"/>
        <v>363000</v>
      </c>
      <c r="K43" s="29"/>
      <c r="L43" s="25">
        <f t="shared" si="4"/>
        <v>0</v>
      </c>
      <c r="M43" s="43"/>
      <c r="N43" s="25">
        <f t="shared" si="5"/>
        <v>0</v>
      </c>
      <c r="O43" s="25"/>
      <c r="P43" s="25">
        <f t="shared" si="6"/>
        <v>0</v>
      </c>
      <c r="Q43" s="43"/>
      <c r="R43" s="30">
        <f t="shared" si="7"/>
        <v>0</v>
      </c>
      <c r="S43" s="30">
        <v>0</v>
      </c>
      <c r="T43" s="25">
        <f t="shared" si="8"/>
        <v>3593700</v>
      </c>
      <c r="U43" s="25">
        <f t="shared" si="14"/>
        <v>35936.999999999993</v>
      </c>
      <c r="V43" s="25">
        <f t="shared" si="15"/>
        <v>53905.499999999993</v>
      </c>
      <c r="W43" s="25">
        <f t="shared" si="16"/>
        <v>287495.99999999994</v>
      </c>
      <c r="X43" s="25">
        <f t="shared" si="11"/>
        <v>3216361.5</v>
      </c>
      <c r="Z43" s="32">
        <v>0</v>
      </c>
    </row>
    <row r="44" spans="1:28" s="40" customFormat="1" ht="44.25" customHeight="1" x14ac:dyDescent="0.25">
      <c r="A44" s="21">
        <v>37</v>
      </c>
      <c r="B44" s="22" t="s">
        <v>114</v>
      </c>
      <c r="C44" s="23" t="s">
        <v>66</v>
      </c>
      <c r="D44" s="23" t="s">
        <v>113</v>
      </c>
      <c r="E44" s="24">
        <v>2.34</v>
      </c>
      <c r="F44" s="25">
        <f t="shared" si="0"/>
        <v>2831400</v>
      </c>
      <c r="G44" s="26">
        <f>(E44+I44)*40%</f>
        <v>0.93599999999999994</v>
      </c>
      <c r="H44" s="27">
        <f t="shared" si="2"/>
        <v>1132560</v>
      </c>
      <c r="I44" s="28"/>
      <c r="J44" s="25">
        <f t="shared" si="3"/>
        <v>0</v>
      </c>
      <c r="K44" s="29">
        <v>0.2</v>
      </c>
      <c r="L44" s="25">
        <f t="shared" si="4"/>
        <v>242000</v>
      </c>
      <c r="M44" s="29"/>
      <c r="N44" s="25">
        <f t="shared" si="5"/>
        <v>0</v>
      </c>
      <c r="O44" s="25"/>
      <c r="P44" s="25">
        <f t="shared" si="6"/>
        <v>0</v>
      </c>
      <c r="Q44" s="29"/>
      <c r="R44" s="30">
        <f t="shared" si="7"/>
        <v>0</v>
      </c>
      <c r="S44" s="30">
        <v>0</v>
      </c>
      <c r="T44" s="25">
        <f t="shared" si="8"/>
        <v>4205960</v>
      </c>
      <c r="U44" s="25">
        <f t="shared" si="14"/>
        <v>28314</v>
      </c>
      <c r="V44" s="25">
        <f t="shared" si="15"/>
        <v>42471</v>
      </c>
      <c r="W44" s="25">
        <f t="shared" si="16"/>
        <v>226512</v>
      </c>
      <c r="X44" s="25">
        <f t="shared" si="11"/>
        <v>3908663</v>
      </c>
      <c r="Z44" s="32">
        <v>0</v>
      </c>
    </row>
    <row r="45" spans="1:28" s="55" customFormat="1" ht="44.25" customHeight="1" x14ac:dyDescent="0.25">
      <c r="A45" s="21">
        <v>38</v>
      </c>
      <c r="B45" s="22" t="s">
        <v>115</v>
      </c>
      <c r="C45" s="34" t="s">
        <v>116</v>
      </c>
      <c r="D45" s="23" t="s">
        <v>113</v>
      </c>
      <c r="E45" s="24">
        <v>2.2999999999999998</v>
      </c>
      <c r="F45" s="25">
        <f t="shared" si="0"/>
        <v>2783000</v>
      </c>
      <c r="G45" s="26">
        <f>(E45+I45)*40%</f>
        <v>0.91999999999999993</v>
      </c>
      <c r="H45" s="27">
        <f t="shared" si="2"/>
        <v>1113200</v>
      </c>
      <c r="I45" s="28"/>
      <c r="J45" s="25">
        <f t="shared" si="3"/>
        <v>0</v>
      </c>
      <c r="K45" s="29">
        <v>0.2</v>
      </c>
      <c r="L45" s="25">
        <f t="shared" si="4"/>
        <v>242000</v>
      </c>
      <c r="M45" s="29"/>
      <c r="N45" s="25">
        <f t="shared" si="5"/>
        <v>0</v>
      </c>
      <c r="O45" s="25"/>
      <c r="P45" s="25">
        <f t="shared" si="6"/>
        <v>0</v>
      </c>
      <c r="Q45" s="29"/>
      <c r="R45" s="30">
        <f t="shared" si="7"/>
        <v>0</v>
      </c>
      <c r="S45" s="30">
        <v>0</v>
      </c>
      <c r="T45" s="25">
        <f t="shared" si="8"/>
        <v>4138200</v>
      </c>
      <c r="U45" s="25">
        <f t="shared" si="14"/>
        <v>27830</v>
      </c>
      <c r="V45" s="25">
        <f t="shared" si="15"/>
        <v>41745</v>
      </c>
      <c r="W45" s="25">
        <f t="shared" si="16"/>
        <v>222640</v>
      </c>
      <c r="X45" s="25">
        <f t="shared" si="11"/>
        <v>3845985</v>
      </c>
      <c r="Z45" s="32">
        <v>0</v>
      </c>
    </row>
    <row r="46" spans="1:28" ht="44.25" customHeight="1" x14ac:dyDescent="0.25">
      <c r="A46" s="21">
        <v>39</v>
      </c>
      <c r="B46" s="22" t="s">
        <v>117</v>
      </c>
      <c r="C46" s="34" t="s">
        <v>76</v>
      </c>
      <c r="D46" s="23" t="s">
        <v>113</v>
      </c>
      <c r="E46" s="24">
        <v>2.0099999999999998</v>
      </c>
      <c r="F46" s="25">
        <f t="shared" si="0"/>
        <v>2432099.9999999995</v>
      </c>
      <c r="G46" s="26">
        <f>(E46+I46)*60%</f>
        <v>1.2059999999999997</v>
      </c>
      <c r="H46" s="27">
        <f t="shared" si="2"/>
        <v>1459259.9999999998</v>
      </c>
      <c r="I46" s="39"/>
      <c r="J46" s="25">
        <f t="shared" si="3"/>
        <v>0</v>
      </c>
      <c r="K46" s="29">
        <v>0.2</v>
      </c>
      <c r="L46" s="25">
        <f t="shared" si="4"/>
        <v>242000</v>
      </c>
      <c r="M46" s="29">
        <v>0.4</v>
      </c>
      <c r="N46" s="25">
        <f t="shared" si="5"/>
        <v>484000</v>
      </c>
      <c r="O46" s="25"/>
      <c r="P46" s="25">
        <f t="shared" si="6"/>
        <v>0</v>
      </c>
      <c r="Q46" s="29"/>
      <c r="R46" s="30">
        <f t="shared" si="7"/>
        <v>0</v>
      </c>
      <c r="S46" s="30">
        <v>1456840.0000000009</v>
      </c>
      <c r="T46" s="25">
        <f t="shared" si="8"/>
        <v>6074200.0000000009</v>
      </c>
      <c r="U46" s="25">
        <f t="shared" si="14"/>
        <v>24320.999999999996</v>
      </c>
      <c r="V46" s="25">
        <f t="shared" si="15"/>
        <v>36481.499999999993</v>
      </c>
      <c r="W46" s="25">
        <f t="shared" si="16"/>
        <v>194567.99999999997</v>
      </c>
      <c r="X46" s="25">
        <f t="shared" si="11"/>
        <v>5818829.5000000009</v>
      </c>
      <c r="Y46" s="2" t="s">
        <v>50</v>
      </c>
      <c r="Z46" s="32">
        <v>728420.00000000047</v>
      </c>
    </row>
    <row r="47" spans="1:28" ht="44.25" customHeight="1" x14ac:dyDescent="0.25">
      <c r="A47" s="21">
        <v>40</v>
      </c>
      <c r="B47" s="22" t="s">
        <v>118</v>
      </c>
      <c r="C47" s="34" t="s">
        <v>119</v>
      </c>
      <c r="D47" s="23" t="s">
        <v>113</v>
      </c>
      <c r="E47" s="24">
        <v>2.2599999999999998</v>
      </c>
      <c r="F47" s="25">
        <f t="shared" si="0"/>
        <v>2734599.9999999995</v>
      </c>
      <c r="G47" s="26">
        <f>(E47+I47)*50%</f>
        <v>1.2799999999999998</v>
      </c>
      <c r="H47" s="27">
        <f t="shared" si="2"/>
        <v>1548799.9999999998</v>
      </c>
      <c r="I47" s="39">
        <v>0.3</v>
      </c>
      <c r="J47" s="25">
        <f t="shared" si="3"/>
        <v>363000</v>
      </c>
      <c r="K47" s="29">
        <v>0.2</v>
      </c>
      <c r="L47" s="25">
        <f t="shared" si="4"/>
        <v>242000</v>
      </c>
      <c r="M47" s="29"/>
      <c r="N47" s="25">
        <f t="shared" si="5"/>
        <v>0</v>
      </c>
      <c r="O47" s="25"/>
      <c r="P47" s="25">
        <f t="shared" si="6"/>
        <v>0</v>
      </c>
      <c r="Q47" s="29"/>
      <c r="R47" s="30">
        <f t="shared" si="7"/>
        <v>0</v>
      </c>
      <c r="S47" s="30">
        <v>0</v>
      </c>
      <c r="T47" s="25">
        <f t="shared" si="8"/>
        <v>4888400</v>
      </c>
      <c r="U47" s="25">
        <f t="shared" si="14"/>
        <v>30975.999999999996</v>
      </c>
      <c r="V47" s="25">
        <f t="shared" si="15"/>
        <v>46463.999999999993</v>
      </c>
      <c r="W47" s="25">
        <f t="shared" si="16"/>
        <v>247807.99999999997</v>
      </c>
      <c r="X47" s="25">
        <f t="shared" si="11"/>
        <v>4563152</v>
      </c>
      <c r="Z47" s="32">
        <v>0</v>
      </c>
    </row>
    <row r="48" spans="1:28" ht="44.25" customHeight="1" x14ac:dyDescent="0.25">
      <c r="A48" s="21">
        <v>41</v>
      </c>
      <c r="B48" s="22" t="s">
        <v>120</v>
      </c>
      <c r="C48" s="34" t="s">
        <v>57</v>
      </c>
      <c r="D48" s="23" t="s">
        <v>113</v>
      </c>
      <c r="E48" s="24">
        <v>2.67</v>
      </c>
      <c r="F48" s="25">
        <f t="shared" si="0"/>
        <v>3230700</v>
      </c>
      <c r="G48" s="26">
        <f>(E48+I48)*40%</f>
        <v>1.1879999999999999</v>
      </c>
      <c r="H48" s="27">
        <f t="shared" si="2"/>
        <v>1437480</v>
      </c>
      <c r="I48" s="28">
        <v>0.3</v>
      </c>
      <c r="J48" s="25">
        <f t="shared" si="3"/>
        <v>363000</v>
      </c>
      <c r="K48" s="29">
        <v>0.2</v>
      </c>
      <c r="L48" s="25">
        <f t="shared" si="4"/>
        <v>242000</v>
      </c>
      <c r="M48" s="29"/>
      <c r="N48" s="25">
        <f t="shared" si="5"/>
        <v>0</v>
      </c>
      <c r="O48" s="25"/>
      <c r="P48" s="25"/>
      <c r="Q48" s="29"/>
      <c r="R48" s="30">
        <f t="shared" si="7"/>
        <v>0</v>
      </c>
      <c r="S48" s="30">
        <f>+-4895841.5/22*7</f>
        <v>-1557767.75</v>
      </c>
      <c r="T48" s="25">
        <f>R48+N48+L48+J48+H48+F48+S48</f>
        <v>3715412.25</v>
      </c>
      <c r="U48" s="25">
        <f t="shared" si="14"/>
        <v>35936.999999999993</v>
      </c>
      <c r="V48" s="25">
        <f t="shared" si="15"/>
        <v>53905.499999999993</v>
      </c>
      <c r="W48" s="25">
        <f t="shared" si="16"/>
        <v>287495.99999999994</v>
      </c>
      <c r="X48" s="25">
        <f>(T48-U48-V48-W48)</f>
        <v>3338073.75</v>
      </c>
      <c r="Z48" s="32">
        <v>0</v>
      </c>
    </row>
    <row r="49" spans="1:28" ht="44.25" customHeight="1" x14ac:dyDescent="0.25">
      <c r="A49" s="21">
        <v>42</v>
      </c>
      <c r="B49" s="22" t="s">
        <v>121</v>
      </c>
      <c r="C49" s="34" t="s">
        <v>104</v>
      </c>
      <c r="D49" s="23" t="s">
        <v>113</v>
      </c>
      <c r="E49" s="24">
        <v>2.2999999999999998</v>
      </c>
      <c r="F49" s="25">
        <f t="shared" si="0"/>
        <v>2783000</v>
      </c>
      <c r="G49" s="26">
        <f>(E49+I49)*70%</f>
        <v>1.6099999999999999</v>
      </c>
      <c r="H49" s="27">
        <f t="shared" si="2"/>
        <v>1948099.9999999998</v>
      </c>
      <c r="I49" s="28"/>
      <c r="J49" s="25">
        <f t="shared" si="3"/>
        <v>0</v>
      </c>
      <c r="K49" s="29">
        <v>0.2</v>
      </c>
      <c r="L49" s="25">
        <f t="shared" si="4"/>
        <v>242000</v>
      </c>
      <c r="M49" s="29">
        <v>0.4</v>
      </c>
      <c r="N49" s="25">
        <f t="shared" si="5"/>
        <v>484000</v>
      </c>
      <c r="O49" s="25"/>
      <c r="P49" s="25">
        <f t="shared" ref="P49:P64" si="18">O49*1210000</f>
        <v>0</v>
      </c>
      <c r="Q49" s="29"/>
      <c r="R49" s="30">
        <f t="shared" si="7"/>
        <v>0</v>
      </c>
      <c r="S49" s="30">
        <f>2637800/2*7</f>
        <v>9232300</v>
      </c>
      <c r="T49" s="25">
        <f t="shared" ref="T49:T63" si="19">R49+N49+L49+J49+H49+F49+S49+P49</f>
        <v>14689400</v>
      </c>
      <c r="U49" s="25">
        <f t="shared" si="14"/>
        <v>27830</v>
      </c>
      <c r="V49" s="25">
        <f t="shared" si="15"/>
        <v>41745</v>
      </c>
      <c r="W49" s="25">
        <f t="shared" si="16"/>
        <v>222640</v>
      </c>
      <c r="X49" s="25">
        <f t="shared" ref="X49:X59" si="20">T49-U49-V49-W49</f>
        <v>14397185</v>
      </c>
      <c r="Y49" s="2" t="s">
        <v>50</v>
      </c>
      <c r="Z49" s="32">
        <v>1318900</v>
      </c>
      <c r="AA49" s="32"/>
      <c r="AB49" s="32"/>
    </row>
    <row r="50" spans="1:28" ht="38.25" customHeight="1" x14ac:dyDescent="0.25">
      <c r="A50" s="21">
        <v>43</v>
      </c>
      <c r="B50" s="22" t="s">
        <v>122</v>
      </c>
      <c r="C50" s="23" t="s">
        <v>52</v>
      </c>
      <c r="D50" s="23" t="s">
        <v>123</v>
      </c>
      <c r="E50" s="24">
        <v>3</v>
      </c>
      <c r="F50" s="25">
        <f t="shared" si="0"/>
        <v>3630000</v>
      </c>
      <c r="G50" s="26">
        <f>(E50+I50)*40%</f>
        <v>1.32</v>
      </c>
      <c r="H50" s="27">
        <f t="shared" si="2"/>
        <v>1597200</v>
      </c>
      <c r="I50" s="24">
        <v>0.3</v>
      </c>
      <c r="J50" s="25">
        <f t="shared" si="3"/>
        <v>363000</v>
      </c>
      <c r="K50" s="29">
        <v>0.2</v>
      </c>
      <c r="L50" s="25">
        <f t="shared" si="4"/>
        <v>242000</v>
      </c>
      <c r="M50" s="29"/>
      <c r="N50" s="25">
        <f t="shared" si="5"/>
        <v>0</v>
      </c>
      <c r="O50" s="25"/>
      <c r="P50" s="25">
        <f t="shared" si="18"/>
        <v>0</v>
      </c>
      <c r="Q50" s="29"/>
      <c r="R50" s="30">
        <f t="shared" si="7"/>
        <v>0</v>
      </c>
      <c r="S50" s="30">
        <v>0</v>
      </c>
      <c r="T50" s="25">
        <f t="shared" si="19"/>
        <v>5832200</v>
      </c>
      <c r="U50" s="25">
        <f t="shared" si="14"/>
        <v>39930</v>
      </c>
      <c r="V50" s="25">
        <f t="shared" si="15"/>
        <v>59895</v>
      </c>
      <c r="W50" s="25">
        <f t="shared" si="16"/>
        <v>319440</v>
      </c>
      <c r="X50" s="25">
        <f t="shared" si="20"/>
        <v>5412935</v>
      </c>
      <c r="Z50" s="32">
        <v>0</v>
      </c>
      <c r="AB50" s="32"/>
    </row>
    <row r="51" spans="1:28" ht="44.25" customHeight="1" x14ac:dyDescent="0.25">
      <c r="A51" s="21">
        <v>44</v>
      </c>
      <c r="B51" s="22" t="s">
        <v>124</v>
      </c>
      <c r="C51" s="23" t="s">
        <v>66</v>
      </c>
      <c r="D51" s="23" t="s">
        <v>123</v>
      </c>
      <c r="E51" s="24">
        <v>2.34</v>
      </c>
      <c r="F51" s="25">
        <f t="shared" si="0"/>
        <v>2831400</v>
      </c>
      <c r="G51" s="26">
        <f>(E51+I51)*40%</f>
        <v>0.93599999999999994</v>
      </c>
      <c r="H51" s="27">
        <f t="shared" si="2"/>
        <v>1132560</v>
      </c>
      <c r="I51" s="28"/>
      <c r="J51" s="25">
        <f t="shared" si="3"/>
        <v>0</v>
      </c>
      <c r="K51" s="29">
        <v>0.2</v>
      </c>
      <c r="L51" s="25">
        <f t="shared" si="4"/>
        <v>242000</v>
      </c>
      <c r="M51" s="29"/>
      <c r="N51" s="25">
        <f t="shared" si="5"/>
        <v>0</v>
      </c>
      <c r="O51" s="25"/>
      <c r="P51" s="25">
        <f t="shared" si="18"/>
        <v>0</v>
      </c>
      <c r="Q51" s="29"/>
      <c r="R51" s="30">
        <f t="shared" si="7"/>
        <v>0</v>
      </c>
      <c r="S51" s="30">
        <v>0</v>
      </c>
      <c r="T51" s="25">
        <f t="shared" si="19"/>
        <v>4205960</v>
      </c>
      <c r="U51" s="25">
        <f t="shared" si="14"/>
        <v>28314</v>
      </c>
      <c r="V51" s="25">
        <f t="shared" si="15"/>
        <v>42471</v>
      </c>
      <c r="W51" s="25">
        <f t="shared" si="16"/>
        <v>226512</v>
      </c>
      <c r="X51" s="25">
        <f t="shared" si="20"/>
        <v>3908663</v>
      </c>
      <c r="Z51" s="32">
        <v>0</v>
      </c>
      <c r="AB51" s="32"/>
    </row>
    <row r="52" spans="1:28" ht="44.25" customHeight="1" x14ac:dyDescent="0.25">
      <c r="A52" s="21">
        <v>45</v>
      </c>
      <c r="B52" s="22" t="s">
        <v>125</v>
      </c>
      <c r="C52" s="23" t="s">
        <v>126</v>
      </c>
      <c r="D52" s="23" t="s">
        <v>123</v>
      </c>
      <c r="E52" s="24">
        <v>2.46</v>
      </c>
      <c r="F52" s="25">
        <f t="shared" si="0"/>
        <v>2976600</v>
      </c>
      <c r="G52" s="26"/>
      <c r="H52" s="27">
        <f t="shared" si="2"/>
        <v>0</v>
      </c>
      <c r="I52" s="28"/>
      <c r="J52" s="25">
        <f t="shared" si="3"/>
        <v>0</v>
      </c>
      <c r="K52" s="29"/>
      <c r="L52" s="25">
        <f t="shared" si="4"/>
        <v>0</v>
      </c>
      <c r="M52" s="29"/>
      <c r="N52" s="25">
        <f t="shared" si="5"/>
        <v>0</v>
      </c>
      <c r="O52" s="25"/>
      <c r="P52" s="25">
        <f t="shared" si="18"/>
        <v>0</v>
      </c>
      <c r="Q52" s="29"/>
      <c r="R52" s="30">
        <f t="shared" si="7"/>
        <v>0</v>
      </c>
      <c r="S52" s="30">
        <v>0</v>
      </c>
      <c r="T52" s="25">
        <f t="shared" si="19"/>
        <v>2976600</v>
      </c>
      <c r="U52" s="25">
        <f t="shared" si="14"/>
        <v>29766</v>
      </c>
      <c r="V52" s="25">
        <f t="shared" si="15"/>
        <v>44649</v>
      </c>
      <c r="W52" s="25">
        <f t="shared" si="16"/>
        <v>238128</v>
      </c>
      <c r="X52" s="25">
        <f t="shared" si="20"/>
        <v>2664057</v>
      </c>
      <c r="Z52" s="32">
        <v>0</v>
      </c>
    </row>
    <row r="53" spans="1:28" ht="44.25" customHeight="1" x14ac:dyDescent="0.25">
      <c r="A53" s="21">
        <v>46</v>
      </c>
      <c r="B53" s="22" t="s">
        <v>127</v>
      </c>
      <c r="C53" s="23" t="s">
        <v>128</v>
      </c>
      <c r="D53" s="23" t="s">
        <v>123</v>
      </c>
      <c r="E53" s="24">
        <v>2.2599999999999998</v>
      </c>
      <c r="F53" s="25">
        <f t="shared" si="0"/>
        <v>2734599.9999999995</v>
      </c>
      <c r="G53" s="26">
        <f>(E53+I53)*40%</f>
        <v>0.90399999999999991</v>
      </c>
      <c r="H53" s="27">
        <f t="shared" si="2"/>
        <v>1093840</v>
      </c>
      <c r="I53" s="28"/>
      <c r="J53" s="25">
        <f t="shared" si="3"/>
        <v>0</v>
      </c>
      <c r="K53" s="29">
        <v>0.2</v>
      </c>
      <c r="L53" s="25">
        <f t="shared" si="4"/>
        <v>242000</v>
      </c>
      <c r="M53" s="29"/>
      <c r="N53" s="25">
        <f t="shared" si="5"/>
        <v>0</v>
      </c>
      <c r="O53" s="25"/>
      <c r="P53" s="25">
        <f t="shared" si="18"/>
        <v>0</v>
      </c>
      <c r="Q53" s="29"/>
      <c r="R53" s="30">
        <f t="shared" si="7"/>
        <v>0</v>
      </c>
      <c r="S53" s="30">
        <v>0</v>
      </c>
      <c r="T53" s="25">
        <f t="shared" si="19"/>
        <v>4070439.9999999995</v>
      </c>
      <c r="U53" s="25">
        <f t="shared" si="14"/>
        <v>27345.999999999996</v>
      </c>
      <c r="V53" s="25">
        <f t="shared" si="15"/>
        <v>41018.999999999993</v>
      </c>
      <c r="W53" s="25">
        <f t="shared" si="16"/>
        <v>218767.99999999997</v>
      </c>
      <c r="X53" s="25">
        <f t="shared" si="20"/>
        <v>3783306.9999999995</v>
      </c>
      <c r="Z53" s="32">
        <v>0</v>
      </c>
    </row>
    <row r="54" spans="1:28" ht="44.25" customHeight="1" x14ac:dyDescent="0.25">
      <c r="A54" s="21">
        <v>47</v>
      </c>
      <c r="B54" s="56" t="s">
        <v>129</v>
      </c>
      <c r="C54" s="34" t="s">
        <v>59</v>
      </c>
      <c r="D54" s="23" t="s">
        <v>123</v>
      </c>
      <c r="E54" s="24">
        <v>2.06</v>
      </c>
      <c r="F54" s="25">
        <f t="shared" si="0"/>
        <v>2492600</v>
      </c>
      <c r="G54" s="26">
        <f>(E54+I54)*40%</f>
        <v>0.82400000000000007</v>
      </c>
      <c r="H54" s="27">
        <f t="shared" si="2"/>
        <v>997040.00000000012</v>
      </c>
      <c r="I54" s="39"/>
      <c r="J54" s="25">
        <f t="shared" si="3"/>
        <v>0</v>
      </c>
      <c r="K54" s="29">
        <v>0.2</v>
      </c>
      <c r="L54" s="25">
        <f t="shared" si="4"/>
        <v>242000</v>
      </c>
      <c r="M54" s="29"/>
      <c r="N54" s="25">
        <f t="shared" si="5"/>
        <v>0</v>
      </c>
      <c r="O54" s="25"/>
      <c r="P54" s="25">
        <f t="shared" si="18"/>
        <v>0</v>
      </c>
      <c r="Q54" s="29"/>
      <c r="R54" s="30">
        <f t="shared" si="7"/>
        <v>0</v>
      </c>
      <c r="S54" s="30">
        <v>0</v>
      </c>
      <c r="T54" s="25">
        <f t="shared" si="19"/>
        <v>3731640</v>
      </c>
      <c r="U54" s="25">
        <f t="shared" si="14"/>
        <v>24926</v>
      </c>
      <c r="V54" s="25">
        <f t="shared" si="15"/>
        <v>37389</v>
      </c>
      <c r="W54" s="25">
        <f t="shared" si="16"/>
        <v>199408</v>
      </c>
      <c r="X54" s="25">
        <f t="shared" si="20"/>
        <v>3469917</v>
      </c>
      <c r="Z54" s="32">
        <v>0</v>
      </c>
    </row>
    <row r="55" spans="1:28" ht="44.25" customHeight="1" x14ac:dyDescent="0.25">
      <c r="A55" s="21">
        <v>48</v>
      </c>
      <c r="B55" s="22" t="s">
        <v>130</v>
      </c>
      <c r="C55" s="34" t="s">
        <v>131</v>
      </c>
      <c r="D55" s="23" t="s">
        <v>132</v>
      </c>
      <c r="E55" s="24">
        <v>4.03</v>
      </c>
      <c r="F55" s="25">
        <f t="shared" si="0"/>
        <v>4876300</v>
      </c>
      <c r="G55" s="26">
        <f t="shared" ref="G55:G64" si="21">(E55+I55)*20%</f>
        <v>0.80600000000000005</v>
      </c>
      <c r="H55" s="27">
        <f t="shared" si="2"/>
        <v>975260.00000000012</v>
      </c>
      <c r="I55" s="28"/>
      <c r="J55" s="25">
        <f t="shared" si="3"/>
        <v>0</v>
      </c>
      <c r="K55" s="29">
        <v>0.2</v>
      </c>
      <c r="L55" s="25">
        <f t="shared" si="4"/>
        <v>242000</v>
      </c>
      <c r="M55" s="28"/>
      <c r="N55" s="25">
        <f t="shared" si="5"/>
        <v>0</v>
      </c>
      <c r="O55" s="25"/>
      <c r="P55" s="25">
        <f t="shared" si="18"/>
        <v>0</v>
      </c>
      <c r="Q55" s="25"/>
      <c r="R55" s="30">
        <f t="shared" si="7"/>
        <v>0</v>
      </c>
      <c r="S55" s="30">
        <v>0</v>
      </c>
      <c r="T55" s="25">
        <f t="shared" si="19"/>
        <v>6093560</v>
      </c>
      <c r="U55" s="25">
        <f t="shared" si="14"/>
        <v>48763</v>
      </c>
      <c r="V55" s="25">
        <f t="shared" si="15"/>
        <v>73144.5</v>
      </c>
      <c r="W55" s="25">
        <f t="shared" si="16"/>
        <v>390104</v>
      </c>
      <c r="X55" s="25">
        <f t="shared" si="20"/>
        <v>5581548.5</v>
      </c>
      <c r="Z55" s="32">
        <v>0</v>
      </c>
    </row>
    <row r="56" spans="1:28" s="40" customFormat="1" ht="44.25" customHeight="1" x14ac:dyDescent="0.25">
      <c r="A56" s="21">
        <v>49</v>
      </c>
      <c r="B56" s="22" t="s">
        <v>133</v>
      </c>
      <c r="C56" s="34" t="s">
        <v>134</v>
      </c>
      <c r="D56" s="23" t="s">
        <v>135</v>
      </c>
      <c r="E56" s="24">
        <v>1.86</v>
      </c>
      <c r="F56" s="25">
        <f t="shared" si="0"/>
        <v>2250600</v>
      </c>
      <c r="G56" s="26">
        <f t="shared" si="21"/>
        <v>0.37200000000000005</v>
      </c>
      <c r="H56" s="27">
        <f t="shared" si="2"/>
        <v>450120.00000000006</v>
      </c>
      <c r="I56" s="28"/>
      <c r="J56" s="25">
        <f t="shared" si="3"/>
        <v>0</v>
      </c>
      <c r="K56" s="29">
        <v>0.2</v>
      </c>
      <c r="L56" s="25">
        <f t="shared" si="4"/>
        <v>242000</v>
      </c>
      <c r="M56" s="43"/>
      <c r="N56" s="25">
        <f t="shared" si="5"/>
        <v>0</v>
      </c>
      <c r="O56" s="25"/>
      <c r="P56" s="25">
        <f t="shared" si="18"/>
        <v>0</v>
      </c>
      <c r="Q56" s="43">
        <v>0.1</v>
      </c>
      <c r="R56" s="30">
        <f t="shared" si="7"/>
        <v>121000</v>
      </c>
      <c r="S56" s="30">
        <v>0</v>
      </c>
      <c r="T56" s="25">
        <f t="shared" si="19"/>
        <v>3063720</v>
      </c>
      <c r="U56" s="25">
        <f t="shared" si="14"/>
        <v>22506</v>
      </c>
      <c r="V56" s="25">
        <f t="shared" si="15"/>
        <v>33759</v>
      </c>
      <c r="W56" s="25">
        <f t="shared" si="16"/>
        <v>180048</v>
      </c>
      <c r="X56" s="25">
        <f t="shared" si="20"/>
        <v>2827407</v>
      </c>
      <c r="Z56" s="32">
        <v>0</v>
      </c>
    </row>
    <row r="57" spans="1:28" s="40" customFormat="1" ht="44.25" customHeight="1" x14ac:dyDescent="0.25">
      <c r="A57" s="21">
        <v>50</v>
      </c>
      <c r="B57" s="22" t="s">
        <v>136</v>
      </c>
      <c r="C57" s="34" t="s">
        <v>131</v>
      </c>
      <c r="D57" s="23" t="s">
        <v>135</v>
      </c>
      <c r="E57" s="24">
        <v>2.23</v>
      </c>
      <c r="F57" s="25">
        <f t="shared" si="0"/>
        <v>2698300</v>
      </c>
      <c r="G57" s="26">
        <f t="shared" si="21"/>
        <v>0.44600000000000001</v>
      </c>
      <c r="H57" s="27">
        <f t="shared" si="2"/>
        <v>539660</v>
      </c>
      <c r="I57" s="28"/>
      <c r="J57" s="25">
        <f t="shared" si="3"/>
        <v>0</v>
      </c>
      <c r="K57" s="29">
        <v>0.2</v>
      </c>
      <c r="L57" s="25">
        <f t="shared" si="4"/>
        <v>242000</v>
      </c>
      <c r="M57" s="29"/>
      <c r="N57" s="25">
        <f t="shared" si="5"/>
        <v>0</v>
      </c>
      <c r="O57" s="25"/>
      <c r="P57" s="25">
        <f t="shared" si="18"/>
        <v>0</v>
      </c>
      <c r="Q57" s="29"/>
      <c r="R57" s="30">
        <f t="shared" si="7"/>
        <v>0</v>
      </c>
      <c r="S57" s="30">
        <v>0</v>
      </c>
      <c r="T57" s="25">
        <f t="shared" si="19"/>
        <v>3479960</v>
      </c>
      <c r="U57" s="25">
        <f t="shared" si="14"/>
        <v>26983</v>
      </c>
      <c r="V57" s="25">
        <f t="shared" si="15"/>
        <v>40474.5</v>
      </c>
      <c r="W57" s="25">
        <f t="shared" si="16"/>
        <v>215864</v>
      </c>
      <c r="X57" s="25">
        <f t="shared" si="20"/>
        <v>3196638.5</v>
      </c>
      <c r="Z57" s="32">
        <v>0</v>
      </c>
    </row>
    <row r="58" spans="1:28" ht="44.25" customHeight="1" x14ac:dyDescent="0.25">
      <c r="A58" s="21">
        <v>51</v>
      </c>
      <c r="B58" s="22" t="s">
        <v>137</v>
      </c>
      <c r="C58" s="34" t="s">
        <v>134</v>
      </c>
      <c r="D58" s="23" t="s">
        <v>135</v>
      </c>
      <c r="E58" s="24">
        <v>1.86</v>
      </c>
      <c r="F58" s="25">
        <f t="shared" si="0"/>
        <v>2250600</v>
      </c>
      <c r="G58" s="26">
        <f t="shared" si="21"/>
        <v>0.37200000000000005</v>
      </c>
      <c r="H58" s="27">
        <f t="shared" si="2"/>
        <v>450120.00000000006</v>
      </c>
      <c r="I58" s="28"/>
      <c r="J58" s="25">
        <f t="shared" si="3"/>
        <v>0</v>
      </c>
      <c r="K58" s="29">
        <v>0.2</v>
      </c>
      <c r="L58" s="25">
        <f t="shared" si="4"/>
        <v>242000</v>
      </c>
      <c r="M58" s="29"/>
      <c r="N58" s="25">
        <f t="shared" si="5"/>
        <v>0</v>
      </c>
      <c r="O58" s="25"/>
      <c r="P58" s="25">
        <f t="shared" si="18"/>
        <v>0</v>
      </c>
      <c r="Q58" s="29">
        <v>0.1</v>
      </c>
      <c r="R58" s="30">
        <f t="shared" si="7"/>
        <v>121000</v>
      </c>
      <c r="S58" s="30">
        <v>0</v>
      </c>
      <c r="T58" s="25">
        <f t="shared" si="19"/>
        <v>3063720</v>
      </c>
      <c r="U58" s="25">
        <f t="shared" si="14"/>
        <v>22506</v>
      </c>
      <c r="V58" s="25">
        <f t="shared" si="15"/>
        <v>33759</v>
      </c>
      <c r="W58" s="25">
        <f t="shared" si="16"/>
        <v>180048</v>
      </c>
      <c r="X58" s="25">
        <f t="shared" si="20"/>
        <v>2827407</v>
      </c>
      <c r="Z58" s="32">
        <v>0</v>
      </c>
    </row>
    <row r="59" spans="1:28" ht="41.25" customHeight="1" x14ac:dyDescent="0.25">
      <c r="A59" s="21">
        <v>52</v>
      </c>
      <c r="B59" s="22" t="s">
        <v>138</v>
      </c>
      <c r="C59" s="23" t="s">
        <v>139</v>
      </c>
      <c r="D59" s="23" t="s">
        <v>135</v>
      </c>
      <c r="E59" s="24">
        <v>2.34</v>
      </c>
      <c r="F59" s="25">
        <f t="shared" si="0"/>
        <v>2831400</v>
      </c>
      <c r="G59" s="26">
        <f t="shared" si="21"/>
        <v>0.46799999999999997</v>
      </c>
      <c r="H59" s="27">
        <f t="shared" si="2"/>
        <v>566280</v>
      </c>
      <c r="I59" s="28"/>
      <c r="J59" s="25">
        <f t="shared" si="3"/>
        <v>0</v>
      </c>
      <c r="K59" s="29">
        <v>0.2</v>
      </c>
      <c r="L59" s="25">
        <f t="shared" si="4"/>
        <v>242000</v>
      </c>
      <c r="M59" s="29"/>
      <c r="N59" s="25">
        <f t="shared" si="5"/>
        <v>0</v>
      </c>
      <c r="O59" s="25"/>
      <c r="P59" s="25">
        <f t="shared" si="18"/>
        <v>0</v>
      </c>
      <c r="Q59" s="29"/>
      <c r="R59" s="30">
        <f t="shared" si="7"/>
        <v>0</v>
      </c>
      <c r="S59" s="30">
        <v>0</v>
      </c>
      <c r="T59" s="25">
        <f t="shared" si="19"/>
        <v>3639680</v>
      </c>
      <c r="U59" s="25">
        <f t="shared" si="14"/>
        <v>28314</v>
      </c>
      <c r="V59" s="25">
        <f t="shared" si="15"/>
        <v>42471</v>
      </c>
      <c r="W59" s="25">
        <f t="shared" si="16"/>
        <v>226512</v>
      </c>
      <c r="X59" s="25">
        <f t="shared" si="20"/>
        <v>3342383</v>
      </c>
      <c r="Z59" s="32">
        <v>0</v>
      </c>
    </row>
    <row r="60" spans="1:28" ht="44.25" customHeight="1" x14ac:dyDescent="0.25">
      <c r="A60" s="21">
        <v>53</v>
      </c>
      <c r="B60" s="22" t="s">
        <v>140</v>
      </c>
      <c r="C60" s="23" t="s">
        <v>98</v>
      </c>
      <c r="D60" s="23" t="s">
        <v>141</v>
      </c>
      <c r="E60" s="24">
        <v>2.34</v>
      </c>
      <c r="F60" s="25">
        <f t="shared" si="0"/>
        <v>2831400</v>
      </c>
      <c r="G60" s="26">
        <f t="shared" si="21"/>
        <v>0.54799999999999993</v>
      </c>
      <c r="H60" s="27">
        <f t="shared" si="2"/>
        <v>663079.99999999988</v>
      </c>
      <c r="I60" s="28">
        <v>0.4</v>
      </c>
      <c r="J60" s="25">
        <f t="shared" si="3"/>
        <v>484000</v>
      </c>
      <c r="K60" s="29">
        <v>0.2</v>
      </c>
      <c r="L60" s="25">
        <f t="shared" si="4"/>
        <v>242000</v>
      </c>
      <c r="M60" s="29"/>
      <c r="N60" s="25">
        <f t="shared" si="5"/>
        <v>0</v>
      </c>
      <c r="O60" s="25"/>
      <c r="P60" s="25">
        <f t="shared" si="18"/>
        <v>0</v>
      </c>
      <c r="Q60" s="29"/>
      <c r="R60" s="30">
        <f t="shared" si="7"/>
        <v>0</v>
      </c>
      <c r="S60" s="30">
        <f>-3872363/22*7</f>
        <v>-1232115.5</v>
      </c>
      <c r="T60" s="25">
        <f>(R60+N60+L60+J60+H60+F60+S60+P60)</f>
        <v>2988364.5</v>
      </c>
      <c r="U60" s="25">
        <f t="shared" si="14"/>
        <v>33153.999999999993</v>
      </c>
      <c r="V60" s="25">
        <f t="shared" si="15"/>
        <v>49730.999999999993</v>
      </c>
      <c r="W60" s="25">
        <f t="shared" si="16"/>
        <v>265231.99999999994</v>
      </c>
      <c r="X60" s="25">
        <f>(T60-U60-V60-W60)</f>
        <v>2640247.5</v>
      </c>
      <c r="Z60" s="32">
        <v>0</v>
      </c>
    </row>
    <row r="61" spans="1:28" ht="38.25" customHeight="1" x14ac:dyDescent="0.25">
      <c r="A61" s="21">
        <v>54</v>
      </c>
      <c r="B61" s="22" t="s">
        <v>142</v>
      </c>
      <c r="C61" s="34" t="s">
        <v>143</v>
      </c>
      <c r="D61" s="23" t="s">
        <v>141</v>
      </c>
      <c r="E61" s="24">
        <v>2.41</v>
      </c>
      <c r="F61" s="25">
        <f t="shared" si="0"/>
        <v>2916100</v>
      </c>
      <c r="G61" s="26">
        <f t="shared" si="21"/>
        <v>0.48200000000000004</v>
      </c>
      <c r="H61" s="27">
        <f t="shared" si="2"/>
        <v>583220</v>
      </c>
      <c r="I61" s="39"/>
      <c r="J61" s="25">
        <f t="shared" si="3"/>
        <v>0</v>
      </c>
      <c r="K61" s="29">
        <v>0.2</v>
      </c>
      <c r="L61" s="25">
        <f t="shared" si="4"/>
        <v>242000</v>
      </c>
      <c r="M61" s="43"/>
      <c r="N61" s="25">
        <f t="shared" si="5"/>
        <v>0</v>
      </c>
      <c r="O61" s="25"/>
      <c r="P61" s="25">
        <f t="shared" si="18"/>
        <v>0</v>
      </c>
      <c r="Q61" s="29"/>
      <c r="R61" s="30">
        <f t="shared" si="7"/>
        <v>0</v>
      </c>
      <c r="S61" s="30">
        <v>0</v>
      </c>
      <c r="T61" s="25">
        <f t="shared" si="19"/>
        <v>3741320</v>
      </c>
      <c r="U61" s="25">
        <f t="shared" si="14"/>
        <v>29161</v>
      </c>
      <c r="V61" s="25">
        <f t="shared" si="15"/>
        <v>43741.5</v>
      </c>
      <c r="W61" s="25">
        <f t="shared" si="16"/>
        <v>233288</v>
      </c>
      <c r="X61" s="25">
        <f>T61-U61-V61-W61</f>
        <v>3435129.5</v>
      </c>
      <c r="Z61" s="32">
        <v>0</v>
      </c>
    </row>
    <row r="62" spans="1:28" ht="44.25" customHeight="1" x14ac:dyDescent="0.25">
      <c r="A62" s="21">
        <v>55</v>
      </c>
      <c r="B62" s="22" t="s">
        <v>144</v>
      </c>
      <c r="C62" s="34" t="s">
        <v>143</v>
      </c>
      <c r="D62" s="23" t="s">
        <v>141</v>
      </c>
      <c r="E62" s="24">
        <v>2.67</v>
      </c>
      <c r="F62" s="25">
        <f t="shared" si="0"/>
        <v>3230700</v>
      </c>
      <c r="G62" s="26">
        <f t="shared" si="21"/>
        <v>0.53400000000000003</v>
      </c>
      <c r="H62" s="27">
        <f t="shared" si="2"/>
        <v>646140</v>
      </c>
      <c r="I62" s="39"/>
      <c r="J62" s="25">
        <f t="shared" si="3"/>
        <v>0</v>
      </c>
      <c r="K62" s="29">
        <v>0.2</v>
      </c>
      <c r="L62" s="25">
        <f t="shared" si="4"/>
        <v>242000</v>
      </c>
      <c r="M62" s="43"/>
      <c r="N62" s="25">
        <f t="shared" si="5"/>
        <v>0</v>
      </c>
      <c r="O62" s="25"/>
      <c r="P62" s="25">
        <f t="shared" si="18"/>
        <v>0</v>
      </c>
      <c r="Q62" s="29"/>
      <c r="R62" s="30">
        <f t="shared" si="7"/>
        <v>0</v>
      </c>
      <c r="S62" s="30">
        <v>0</v>
      </c>
      <c r="T62" s="25">
        <f t="shared" si="19"/>
        <v>4118840</v>
      </c>
      <c r="U62" s="25">
        <f t="shared" si="14"/>
        <v>32307</v>
      </c>
      <c r="V62" s="25">
        <f t="shared" si="15"/>
        <v>48460.5</v>
      </c>
      <c r="W62" s="25">
        <f t="shared" si="16"/>
        <v>258456</v>
      </c>
      <c r="X62" s="25">
        <f>T62-U62-V62-W62</f>
        <v>3779616.5</v>
      </c>
      <c r="Z62" s="32">
        <v>0</v>
      </c>
    </row>
    <row r="63" spans="1:28" ht="44.25" customHeight="1" x14ac:dyDescent="0.25">
      <c r="A63" s="21">
        <v>56</v>
      </c>
      <c r="B63" s="22" t="s">
        <v>145</v>
      </c>
      <c r="C63" s="34" t="s">
        <v>143</v>
      </c>
      <c r="D63" s="23" t="s">
        <v>141</v>
      </c>
      <c r="E63" s="24">
        <v>2.34</v>
      </c>
      <c r="F63" s="25">
        <f t="shared" si="0"/>
        <v>2831400</v>
      </c>
      <c r="G63" s="26">
        <f t="shared" si="21"/>
        <v>0.46799999999999997</v>
      </c>
      <c r="H63" s="27">
        <f t="shared" si="2"/>
        <v>566280</v>
      </c>
      <c r="I63" s="28"/>
      <c r="J63" s="25">
        <f t="shared" si="3"/>
        <v>0</v>
      </c>
      <c r="K63" s="29">
        <v>0.2</v>
      </c>
      <c r="L63" s="25">
        <f t="shared" si="4"/>
        <v>242000</v>
      </c>
      <c r="M63" s="29"/>
      <c r="N63" s="25">
        <f t="shared" si="5"/>
        <v>0</v>
      </c>
      <c r="O63" s="25"/>
      <c r="P63" s="25">
        <f t="shared" si="18"/>
        <v>0</v>
      </c>
      <c r="Q63" s="29"/>
      <c r="R63" s="30">
        <f t="shared" si="7"/>
        <v>0</v>
      </c>
      <c r="S63" s="30">
        <v>0</v>
      </c>
      <c r="T63" s="25">
        <f t="shared" si="19"/>
        <v>3639680</v>
      </c>
      <c r="U63" s="25">
        <f t="shared" si="14"/>
        <v>28314</v>
      </c>
      <c r="V63" s="25">
        <f t="shared" si="15"/>
        <v>42471</v>
      </c>
      <c r="W63" s="25">
        <f t="shared" si="16"/>
        <v>226512</v>
      </c>
      <c r="X63" s="25">
        <f>T63-U63-V63-W63</f>
        <v>3342383</v>
      </c>
      <c r="Z63" s="32">
        <v>0</v>
      </c>
    </row>
    <row r="64" spans="1:28" ht="44.25" customHeight="1" x14ac:dyDescent="0.25">
      <c r="A64" s="21">
        <v>57</v>
      </c>
      <c r="B64" s="22" t="s">
        <v>146</v>
      </c>
      <c r="C64" s="23" t="s">
        <v>147</v>
      </c>
      <c r="D64" s="23" t="s">
        <v>141</v>
      </c>
      <c r="E64" s="24">
        <v>1.83</v>
      </c>
      <c r="F64" s="25">
        <f t="shared" si="0"/>
        <v>2214300</v>
      </c>
      <c r="G64" s="26">
        <f t="shared" si="21"/>
        <v>0.36600000000000005</v>
      </c>
      <c r="H64" s="27">
        <f t="shared" si="2"/>
        <v>442860.00000000006</v>
      </c>
      <c r="I64" s="28"/>
      <c r="J64" s="25">
        <f t="shared" si="3"/>
        <v>0</v>
      </c>
      <c r="K64" s="29">
        <v>0.2</v>
      </c>
      <c r="L64" s="25">
        <f t="shared" si="4"/>
        <v>242000</v>
      </c>
      <c r="M64" s="29"/>
      <c r="N64" s="25">
        <f t="shared" si="5"/>
        <v>0</v>
      </c>
      <c r="O64" s="25"/>
      <c r="P64" s="25">
        <f t="shared" si="18"/>
        <v>0</v>
      </c>
      <c r="Q64" s="29"/>
      <c r="R64" s="30">
        <f t="shared" si="7"/>
        <v>0</v>
      </c>
      <c r="S64" s="30">
        <v>0</v>
      </c>
      <c r="T64" s="25">
        <f>R64+N64+L64+J64+H64+F64+S64+P64</f>
        <v>2899160</v>
      </c>
      <c r="U64" s="25">
        <f t="shared" si="14"/>
        <v>22143</v>
      </c>
      <c r="V64" s="25">
        <f t="shared" si="15"/>
        <v>33214.5</v>
      </c>
      <c r="W64" s="25">
        <f t="shared" si="16"/>
        <v>177144</v>
      </c>
      <c r="X64" s="25">
        <f>T64-U64-V64-W64</f>
        <v>2666658.5</v>
      </c>
      <c r="Z64" s="32">
        <v>0</v>
      </c>
    </row>
    <row r="65" spans="1:27" s="66" customFormat="1" ht="38.25" customHeight="1" x14ac:dyDescent="0.2">
      <c r="A65" s="57" t="s">
        <v>148</v>
      </c>
      <c r="B65" s="58"/>
      <c r="C65" s="59"/>
      <c r="D65" s="60"/>
      <c r="E65" s="61">
        <f>SUM(E8:E64)</f>
        <v>147.96000000000006</v>
      </c>
      <c r="F65" s="62">
        <f t="shared" ref="F65:X65" si="22">SUM(F8:F64)</f>
        <v>179031600</v>
      </c>
      <c r="G65" s="63">
        <f t="shared" si="22"/>
        <v>62.823799999999991</v>
      </c>
      <c r="H65" s="62">
        <f t="shared" si="22"/>
        <v>76016798</v>
      </c>
      <c r="I65" s="61">
        <f t="shared" si="22"/>
        <v>6.6</v>
      </c>
      <c r="J65" s="62">
        <f t="shared" si="22"/>
        <v>7986000</v>
      </c>
      <c r="K65" s="61">
        <f t="shared" si="22"/>
        <v>10.599999999999994</v>
      </c>
      <c r="L65" s="62">
        <f t="shared" si="22"/>
        <v>12826000</v>
      </c>
      <c r="M65" s="61">
        <f t="shared" si="22"/>
        <v>4.3000000000000007</v>
      </c>
      <c r="N65" s="62">
        <f t="shared" si="22"/>
        <v>5203000</v>
      </c>
      <c r="O65" s="63">
        <f t="shared" si="22"/>
        <v>0.20299999999999999</v>
      </c>
      <c r="P65" s="62">
        <f t="shared" si="22"/>
        <v>245629.99999999997</v>
      </c>
      <c r="Q65" s="61">
        <f t="shared" si="22"/>
        <v>1.9000000000000004</v>
      </c>
      <c r="R65" s="62">
        <f t="shared" si="22"/>
        <v>2299000</v>
      </c>
      <c r="S65" s="62">
        <f t="shared" si="22"/>
        <v>6409565.2500000177</v>
      </c>
      <c r="T65" s="62">
        <f>SUM(T8:T64)</f>
        <v>290017593.25</v>
      </c>
      <c r="U65" s="62">
        <f>SUM(U8:U64)</f>
        <v>1802694.3</v>
      </c>
      <c r="V65" s="62">
        <f t="shared" si="22"/>
        <v>2808948.4499999997</v>
      </c>
      <c r="W65" s="62">
        <f t="shared" si="22"/>
        <v>14981058.4</v>
      </c>
      <c r="X65" s="62">
        <f t="shared" si="22"/>
        <v>270424892.10000002</v>
      </c>
      <c r="Y65" s="64"/>
      <c r="Z65" s="65"/>
      <c r="AA65" s="65"/>
    </row>
    <row r="66" spans="1:27" s="6" customFormat="1" ht="22.5" customHeight="1" x14ac:dyDescent="0.25">
      <c r="A66" s="67"/>
      <c r="B66" s="68" t="s">
        <v>149</v>
      </c>
      <c r="D66" s="69"/>
      <c r="F66" s="70"/>
      <c r="H66" s="70"/>
      <c r="I66" s="70"/>
      <c r="J66" s="70"/>
      <c r="U66" s="71"/>
      <c r="X66" s="72"/>
    </row>
    <row r="67" spans="1:27" s="6" customFormat="1" ht="22.5" customHeight="1" x14ac:dyDescent="0.25">
      <c r="A67" s="73"/>
      <c r="B67" s="74" t="s">
        <v>150</v>
      </c>
      <c r="C67" s="74"/>
      <c r="D67" s="74"/>
      <c r="E67" s="74"/>
      <c r="G67" s="75"/>
      <c r="H67" s="76"/>
      <c r="I67" s="76"/>
      <c r="J67" s="77" t="s">
        <v>151</v>
      </c>
      <c r="K67" s="77"/>
      <c r="L67" s="77"/>
      <c r="M67" s="77"/>
      <c r="T67" s="77" t="s">
        <v>152</v>
      </c>
      <c r="U67" s="77"/>
      <c r="V67" s="77"/>
      <c r="W67" s="77"/>
      <c r="X67" s="77"/>
    </row>
    <row r="68" spans="1:27" s="6" customFormat="1" ht="22.5" hidden="1" customHeight="1" x14ac:dyDescent="0.25">
      <c r="A68" s="67"/>
      <c r="B68" s="68"/>
      <c r="D68" s="69"/>
      <c r="E68" s="78">
        <f t="shared" ref="E68:W68" si="23">+E65+E118-E48</f>
        <v>147.30000000000007</v>
      </c>
      <c r="F68" s="78">
        <f t="shared" si="23"/>
        <v>178233000</v>
      </c>
      <c r="G68" s="78">
        <f t="shared" si="23"/>
        <v>62.439799999999991</v>
      </c>
      <c r="H68" s="78">
        <f t="shared" si="23"/>
        <v>75552158</v>
      </c>
      <c r="I68" s="78">
        <f t="shared" si="23"/>
        <v>6.3</v>
      </c>
      <c r="J68" s="78">
        <f t="shared" si="23"/>
        <v>7623000</v>
      </c>
      <c r="K68" s="78">
        <f t="shared" si="23"/>
        <v>10.599999999999994</v>
      </c>
      <c r="L68" s="78">
        <f t="shared" si="23"/>
        <v>12826000</v>
      </c>
      <c r="M68" s="78">
        <f t="shared" si="23"/>
        <v>4.5000000000000009</v>
      </c>
      <c r="N68" s="78">
        <f t="shared" si="23"/>
        <v>5445000</v>
      </c>
      <c r="O68" s="78">
        <f t="shared" si="23"/>
        <v>0.20299999999999999</v>
      </c>
      <c r="P68" s="78">
        <f t="shared" si="23"/>
        <v>245629.99999999997</v>
      </c>
      <c r="Q68" s="79">
        <f t="shared" si="23"/>
        <v>1.9000000000000004</v>
      </c>
      <c r="R68" s="78">
        <f t="shared" si="23"/>
        <v>2299000</v>
      </c>
      <c r="S68" s="78">
        <f t="shared" si="23"/>
        <v>7370693.0000000177</v>
      </c>
      <c r="T68" s="78">
        <f t="shared" si="23"/>
        <v>289594481</v>
      </c>
      <c r="U68" s="78">
        <f t="shared" si="23"/>
        <v>1791078.3</v>
      </c>
      <c r="V68" s="78">
        <f t="shared" si="23"/>
        <v>2791524.4499999997</v>
      </c>
      <c r="W68" s="78">
        <f t="shared" si="23"/>
        <v>14888130.4</v>
      </c>
      <c r="X68" s="72"/>
    </row>
    <row r="69" spans="1:27" s="6" customFormat="1" ht="22.5" hidden="1" customHeight="1" x14ac:dyDescent="0.25">
      <c r="A69" s="67"/>
      <c r="B69" s="68"/>
      <c r="D69" s="69"/>
      <c r="E69" s="78">
        <f>+E68-'[1]T9 in '!E65</f>
        <v>0</v>
      </c>
      <c r="F69" s="78">
        <f>+F68-'[1]T9 in '!F65</f>
        <v>0</v>
      </c>
      <c r="G69" s="78">
        <f>+G68-'[1]T9 in '!G65</f>
        <v>-0.37420000000000186</v>
      </c>
      <c r="H69" s="78">
        <f>+H68-'[1]T9 in '!H65</f>
        <v>-452782</v>
      </c>
      <c r="I69" s="78">
        <f>+I68-'[1]T9 in '!I65</f>
        <v>0</v>
      </c>
      <c r="J69" s="78">
        <f>+J68-'[1]T9 in '!J65</f>
        <v>0</v>
      </c>
      <c r="K69" s="78">
        <f>+K68-'[1]T9 in '!K65</f>
        <v>-0.39999999999999858</v>
      </c>
      <c r="L69" s="78">
        <f>+L68-'[1]T9 in '!L65</f>
        <v>-484000</v>
      </c>
      <c r="M69" s="78">
        <f>+M68-'[1]T9 in '!M65</f>
        <v>0.20000000000000018</v>
      </c>
      <c r="N69" s="78">
        <f>+N68-'[1]T9 in '!N65</f>
        <v>242000</v>
      </c>
      <c r="O69" s="78">
        <f>+O68-'[1]T9 in '!O65</f>
        <v>0</v>
      </c>
      <c r="P69" s="78">
        <f>+P68-'[1]T9 in '!P65</f>
        <v>0</v>
      </c>
      <c r="Q69" s="79">
        <f>+Q68-'[1]T9 in '!Q65</f>
        <v>9.9999999999999867E-2</v>
      </c>
      <c r="R69" s="78">
        <f>+R68-'[1]T9 in '!R65</f>
        <v>121000</v>
      </c>
      <c r="S69" s="78">
        <f>+S68-'[1]T9 in '!S65</f>
        <v>7967333.0000000177</v>
      </c>
      <c r="T69" s="78">
        <f>+T68-'[1]T9 in '!T65</f>
        <v>7393551</v>
      </c>
      <c r="U69" s="78">
        <f>+U68-'[1]T9 in '!U65</f>
        <v>2456.3000000000466</v>
      </c>
      <c r="V69" s="78">
        <f>+V68-'[1]T9 in '!V65</f>
        <v>3684.4499999997206</v>
      </c>
      <c r="W69" s="78">
        <f>+W68-'[1]T9 in '!W65</f>
        <v>19650.400000000373</v>
      </c>
      <c r="X69" s="72"/>
    </row>
    <row r="70" spans="1:27" s="6" customFormat="1" ht="22.5" customHeight="1" x14ac:dyDescent="0.25">
      <c r="A70" s="67"/>
      <c r="B70" s="68"/>
      <c r="D70" s="69"/>
      <c r="F70" s="70"/>
      <c r="H70" s="70"/>
      <c r="I70" s="70"/>
      <c r="J70" s="70"/>
      <c r="T70" s="70"/>
      <c r="U70" s="71"/>
      <c r="X70" s="72"/>
    </row>
    <row r="71" spans="1:27" s="6" customFormat="1" ht="22.5" customHeight="1" x14ac:dyDescent="0.25">
      <c r="A71" s="67"/>
      <c r="B71" s="68"/>
      <c r="D71" s="69"/>
      <c r="F71" s="70"/>
      <c r="H71" s="70"/>
      <c r="I71" s="70"/>
      <c r="J71" s="70"/>
      <c r="T71" s="70"/>
      <c r="U71" s="71"/>
      <c r="X71" s="72"/>
    </row>
    <row r="72" spans="1:27" s="6" customFormat="1" ht="22.5" customHeight="1" x14ac:dyDescent="0.25">
      <c r="A72" s="67"/>
      <c r="B72" s="68"/>
      <c r="D72" s="69"/>
      <c r="F72" s="70"/>
      <c r="H72" s="70"/>
      <c r="I72" s="70"/>
      <c r="J72" s="70"/>
      <c r="T72" s="70"/>
      <c r="U72" s="71"/>
      <c r="X72" s="72"/>
    </row>
    <row r="73" spans="1:27" s="6" customFormat="1" ht="22.5" customHeight="1" x14ac:dyDescent="0.25">
      <c r="A73" s="67"/>
      <c r="B73" s="68"/>
      <c r="D73" s="69"/>
      <c r="F73" s="70"/>
      <c r="H73" s="70"/>
      <c r="I73" s="70"/>
      <c r="J73" s="70"/>
      <c r="T73" s="70"/>
      <c r="U73" s="71"/>
      <c r="X73" s="72"/>
    </row>
    <row r="74" spans="1:27" s="75" customFormat="1" ht="22.5" customHeight="1" x14ac:dyDescent="0.25">
      <c r="A74" s="80"/>
      <c r="B74" s="77" t="s">
        <v>47</v>
      </c>
      <c r="C74" s="77"/>
      <c r="D74" s="77"/>
      <c r="E74" s="77"/>
      <c r="F74" s="81"/>
      <c r="H74" s="81"/>
      <c r="I74" s="81"/>
      <c r="J74" s="82" t="s">
        <v>153</v>
      </c>
      <c r="K74" s="82"/>
      <c r="L74" s="82"/>
      <c r="M74" s="82"/>
      <c r="T74" s="82" t="s">
        <v>153</v>
      </c>
      <c r="U74" s="82"/>
      <c r="V74" s="82"/>
      <c r="W74" s="82"/>
      <c r="X74" s="82"/>
    </row>
    <row r="75" spans="1:27" s="6" customFormat="1" ht="22.5" customHeight="1" x14ac:dyDescent="0.25">
      <c r="A75" s="67"/>
      <c r="B75" s="68"/>
      <c r="D75" s="69"/>
      <c r="F75" s="70"/>
      <c r="H75" s="70"/>
      <c r="I75" s="70"/>
      <c r="J75" s="70"/>
      <c r="T75" s="70"/>
      <c r="U75" s="71"/>
      <c r="X75" s="72"/>
    </row>
    <row r="76" spans="1:27" s="85" customFormat="1" ht="18.75" customHeight="1" x14ac:dyDescent="0.3">
      <c r="A76" s="83"/>
      <c r="B76" s="84" t="s">
        <v>154</v>
      </c>
      <c r="D76" s="86"/>
      <c r="F76" s="87"/>
      <c r="G76" s="87"/>
      <c r="H76" s="87"/>
      <c r="I76" s="87"/>
      <c r="J76" s="88"/>
      <c r="L76" s="89"/>
      <c r="M76" s="89"/>
      <c r="N76" s="89"/>
      <c r="O76" s="89"/>
      <c r="P76" s="89"/>
      <c r="Q76" s="89"/>
      <c r="U76" s="90"/>
      <c r="X76" s="91"/>
    </row>
    <row r="77" spans="1:27" s="85" customFormat="1" ht="18.75" customHeight="1" x14ac:dyDescent="0.25">
      <c r="A77" s="83"/>
      <c r="B77" s="92" t="s">
        <v>155</v>
      </c>
      <c r="D77" s="86"/>
      <c r="F77" s="88"/>
      <c r="H77" s="88"/>
      <c r="I77" s="88"/>
      <c r="J77" s="88"/>
      <c r="U77" s="90"/>
      <c r="X77" s="91"/>
    </row>
    <row r="78" spans="1:27" s="6" customFormat="1" ht="18.75" customHeight="1" x14ac:dyDescent="0.25">
      <c r="A78" s="67"/>
      <c r="B78" s="6" t="s">
        <v>156</v>
      </c>
      <c r="D78" s="69"/>
      <c r="F78" s="70"/>
      <c r="G78" s="6" t="s">
        <v>157</v>
      </c>
      <c r="H78" s="70"/>
      <c r="I78" s="70"/>
      <c r="J78" s="70"/>
      <c r="N78" s="93"/>
      <c r="O78" s="93"/>
      <c r="P78" s="93"/>
      <c r="Q78" s="93"/>
      <c r="R78" s="93"/>
      <c r="S78" s="93"/>
      <c r="U78" s="94"/>
    </row>
    <row r="79" spans="1:27" s="6" customFormat="1" ht="18.75" customHeight="1" x14ac:dyDescent="0.25">
      <c r="A79" s="95"/>
      <c r="B79" s="6" t="s">
        <v>158</v>
      </c>
      <c r="D79" s="69"/>
      <c r="E79" s="96"/>
      <c r="F79" s="96"/>
      <c r="G79" s="6" t="s">
        <v>159</v>
      </c>
      <c r="H79" s="96"/>
      <c r="I79" s="96"/>
      <c r="J79" s="97"/>
      <c r="K79" s="96"/>
      <c r="L79" s="96"/>
      <c r="M79" s="96"/>
    </row>
    <row r="80" spans="1:27" s="6" customFormat="1" ht="18.75" customHeight="1" x14ac:dyDescent="0.25">
      <c r="A80" s="95"/>
      <c r="B80" s="6" t="s">
        <v>106</v>
      </c>
      <c r="D80" s="69"/>
      <c r="E80" s="96"/>
      <c r="F80" s="96"/>
      <c r="G80" s="6" t="s">
        <v>160</v>
      </c>
      <c r="H80" s="96"/>
      <c r="I80" s="96"/>
      <c r="J80" s="97"/>
      <c r="K80" s="96"/>
      <c r="L80" s="96"/>
      <c r="M80" s="96"/>
    </row>
    <row r="81" spans="1:24" s="6" customFormat="1" ht="18.75" customHeight="1" x14ac:dyDescent="0.25">
      <c r="A81" s="95"/>
      <c r="B81" s="6" t="s">
        <v>161</v>
      </c>
      <c r="D81" s="69"/>
      <c r="E81" s="96"/>
      <c r="F81" s="96"/>
      <c r="G81" s="6" t="s">
        <v>162</v>
      </c>
      <c r="H81" s="96"/>
      <c r="I81" s="96"/>
      <c r="J81" s="97"/>
      <c r="K81" s="96"/>
      <c r="L81" s="96"/>
      <c r="M81" s="96"/>
    </row>
    <row r="82" spans="1:24" s="6" customFormat="1" ht="18.75" customHeight="1" x14ac:dyDescent="0.25">
      <c r="A82" s="95"/>
      <c r="B82" s="6" t="s">
        <v>120</v>
      </c>
      <c r="D82" s="69"/>
      <c r="E82" s="96"/>
      <c r="F82" s="96"/>
      <c r="G82" s="6" t="s">
        <v>163</v>
      </c>
      <c r="H82" s="96"/>
      <c r="I82" s="96"/>
      <c r="J82" s="97"/>
      <c r="K82" s="96"/>
      <c r="L82" s="96"/>
      <c r="M82" s="96"/>
    </row>
    <row r="83" spans="1:24" s="6" customFormat="1" ht="18.75" customHeight="1" x14ac:dyDescent="0.25">
      <c r="A83" s="95"/>
      <c r="B83" s="6" t="s">
        <v>153</v>
      </c>
      <c r="D83" s="69"/>
      <c r="E83" s="96"/>
      <c r="F83" s="96"/>
      <c r="G83" s="6" t="s">
        <v>163</v>
      </c>
      <c r="H83" s="96"/>
      <c r="I83" s="96"/>
      <c r="J83" s="97"/>
      <c r="K83" s="96"/>
      <c r="L83" s="96"/>
      <c r="M83" s="96"/>
    </row>
    <row r="84" spans="1:24" ht="18.75" customHeight="1" x14ac:dyDescent="0.25">
      <c r="B84" s="2" t="s">
        <v>94</v>
      </c>
      <c r="G84" s="2" t="s">
        <v>164</v>
      </c>
    </row>
    <row r="85" spans="1:24" s="6" customFormat="1" ht="18.75" customHeight="1" x14ac:dyDescent="0.25">
      <c r="A85" s="95"/>
      <c r="B85" s="6" t="s">
        <v>47</v>
      </c>
      <c r="D85" s="69"/>
      <c r="E85" s="96"/>
      <c r="F85" s="96"/>
      <c r="G85" s="94" t="s">
        <v>165</v>
      </c>
      <c r="H85" s="96"/>
      <c r="I85" s="96"/>
      <c r="J85" s="97"/>
      <c r="K85" s="96"/>
      <c r="L85" s="96"/>
      <c r="M85" s="96"/>
      <c r="N85" s="96"/>
      <c r="O85" s="96"/>
      <c r="P85" s="96"/>
      <c r="Q85" s="96"/>
      <c r="S85" s="94"/>
      <c r="V85" s="99"/>
      <c r="W85" s="99"/>
      <c r="X85" s="99"/>
    </row>
    <row r="86" spans="1:24" s="6" customFormat="1" ht="18.75" customHeight="1" x14ac:dyDescent="0.25">
      <c r="A86" s="95"/>
      <c r="B86" s="6" t="s">
        <v>62</v>
      </c>
      <c r="D86" s="69"/>
      <c r="E86" s="96"/>
      <c r="F86" s="96"/>
      <c r="G86" s="94" t="s">
        <v>165</v>
      </c>
      <c r="H86" s="96"/>
      <c r="I86" s="96"/>
      <c r="J86" s="97"/>
      <c r="K86" s="96"/>
      <c r="L86" s="96"/>
      <c r="M86" s="96"/>
      <c r="N86" s="96"/>
      <c r="O86" s="96"/>
      <c r="P86" s="96"/>
      <c r="Q86" s="96"/>
      <c r="S86" s="94"/>
      <c r="V86" s="99"/>
      <c r="W86" s="99"/>
      <c r="X86" s="99"/>
    </row>
    <row r="87" spans="1:24" s="6" customFormat="1" ht="18.75" customHeight="1" x14ac:dyDescent="0.25">
      <c r="A87" s="95"/>
      <c r="B87" s="6" t="s">
        <v>88</v>
      </c>
      <c r="D87" s="69"/>
      <c r="E87" s="96"/>
      <c r="F87" s="96"/>
      <c r="G87" s="94" t="s">
        <v>165</v>
      </c>
      <c r="H87" s="96"/>
      <c r="I87" s="96"/>
      <c r="J87" s="97"/>
      <c r="K87" s="96"/>
      <c r="L87" s="96"/>
      <c r="M87" s="96"/>
      <c r="N87" s="96"/>
      <c r="O87" s="96"/>
      <c r="P87" s="96"/>
      <c r="Q87" s="96"/>
      <c r="S87" s="94"/>
      <c r="V87" s="99"/>
      <c r="W87" s="99"/>
      <c r="X87" s="99"/>
    </row>
    <row r="88" spans="1:24" s="6" customFormat="1" ht="18.75" customHeight="1" x14ac:dyDescent="0.25">
      <c r="A88" s="95"/>
      <c r="B88" s="6" t="s">
        <v>91</v>
      </c>
      <c r="D88" s="69"/>
      <c r="E88" s="96"/>
      <c r="F88" s="96"/>
      <c r="G88" s="94" t="s">
        <v>165</v>
      </c>
      <c r="H88" s="96"/>
      <c r="I88" s="96"/>
      <c r="J88" s="97"/>
      <c r="K88" s="96"/>
      <c r="L88" s="96"/>
      <c r="M88" s="96"/>
      <c r="N88" s="96"/>
      <c r="O88" s="96"/>
      <c r="P88" s="96"/>
      <c r="Q88" s="96"/>
      <c r="S88" s="94"/>
      <c r="V88" s="99"/>
      <c r="W88" s="99"/>
      <c r="X88" s="99"/>
    </row>
    <row r="89" spans="1:24" s="6" customFormat="1" ht="18.75" customHeight="1" x14ac:dyDescent="0.25">
      <c r="A89" s="95"/>
      <c r="B89" s="6" t="s">
        <v>103</v>
      </c>
      <c r="D89" s="69"/>
      <c r="E89" s="96"/>
      <c r="F89" s="96"/>
      <c r="G89" s="94" t="s">
        <v>165</v>
      </c>
      <c r="H89" s="96"/>
      <c r="I89" s="96"/>
      <c r="J89" s="97"/>
      <c r="K89" s="96"/>
      <c r="L89" s="96"/>
      <c r="M89" s="96"/>
      <c r="N89" s="96"/>
      <c r="O89" s="96"/>
      <c r="P89" s="96"/>
      <c r="Q89" s="96"/>
      <c r="S89" s="94"/>
      <c r="V89" s="99"/>
      <c r="W89" s="99"/>
      <c r="X89" s="99"/>
    </row>
    <row r="90" spans="1:24" ht="18.75" customHeight="1" x14ac:dyDescent="0.25">
      <c r="B90" s="2" t="s">
        <v>75</v>
      </c>
      <c r="G90" s="2" t="s">
        <v>166</v>
      </c>
    </row>
    <row r="91" spans="1:24" ht="18.75" customHeight="1" x14ac:dyDescent="0.25">
      <c r="B91" s="2" t="s">
        <v>117</v>
      </c>
      <c r="G91" s="2" t="s">
        <v>166</v>
      </c>
    </row>
    <row r="92" spans="1:24" ht="18.75" customHeight="1" x14ac:dyDescent="0.25">
      <c r="B92" s="2" t="s">
        <v>96</v>
      </c>
      <c r="G92" s="2" t="s">
        <v>167</v>
      </c>
    </row>
    <row r="93" spans="1:24" ht="18.75" customHeight="1" x14ac:dyDescent="0.25">
      <c r="B93" s="2" t="s">
        <v>110</v>
      </c>
      <c r="G93" s="2" t="s">
        <v>167</v>
      </c>
    </row>
    <row r="94" spans="1:24" ht="18.75" customHeight="1" x14ac:dyDescent="0.25">
      <c r="B94" s="2" t="s">
        <v>121</v>
      </c>
      <c r="G94" s="2" t="s">
        <v>168</v>
      </c>
    </row>
    <row r="116" spans="1:25" ht="44.25" customHeight="1" x14ac:dyDescent="0.25">
      <c r="A116" s="21">
        <v>48</v>
      </c>
      <c r="B116" s="22" t="s">
        <v>169</v>
      </c>
      <c r="C116" s="34" t="s">
        <v>143</v>
      </c>
      <c r="D116" s="23" t="s">
        <v>141</v>
      </c>
      <c r="E116" s="24">
        <v>2.67</v>
      </c>
      <c r="F116" s="25">
        <f>E116*1210000</f>
        <v>3230700</v>
      </c>
      <c r="G116" s="26">
        <f>(E116+I116)*20%</f>
        <v>0.53400000000000003</v>
      </c>
      <c r="H116" s="27">
        <f>G116*1210000</f>
        <v>646140</v>
      </c>
      <c r="I116" s="28"/>
      <c r="J116" s="25">
        <f>I116*1210000</f>
        <v>0</v>
      </c>
      <c r="K116" s="29">
        <v>0.2</v>
      </c>
      <c r="L116" s="25">
        <f>K116*1210000</f>
        <v>242000</v>
      </c>
      <c r="M116" s="28"/>
      <c r="N116" s="25">
        <f>M116*1210000</f>
        <v>0</v>
      </c>
      <c r="O116" s="25"/>
      <c r="P116" s="25">
        <f>O116*1210000</f>
        <v>0</v>
      </c>
      <c r="Q116" s="25"/>
      <c r="R116" s="30">
        <f>Q116*1210000</f>
        <v>0</v>
      </c>
      <c r="S116" s="30"/>
      <c r="T116" s="25">
        <f>R116+N116+L116+J116+H116+F116+S116+P116</f>
        <v>4118840</v>
      </c>
      <c r="U116" s="25">
        <f>(E116+I116)*1210000*1%</f>
        <v>32307</v>
      </c>
      <c r="V116" s="25">
        <f>(E116+I116)*1210000*1.5%</f>
        <v>48460.5</v>
      </c>
      <c r="W116" s="25">
        <f>(E116+I116)*1210000*8%</f>
        <v>258456</v>
      </c>
      <c r="X116" s="25">
        <f>T116-U116-V116-W116</f>
        <v>3779616.5</v>
      </c>
    </row>
    <row r="117" spans="1:25" ht="44.25" customHeight="1" x14ac:dyDescent="0.25">
      <c r="A117" s="21">
        <v>18</v>
      </c>
      <c r="B117" s="22" t="s">
        <v>170</v>
      </c>
      <c r="C117" s="34" t="s">
        <v>83</v>
      </c>
      <c r="D117" s="23" t="s">
        <v>81</v>
      </c>
      <c r="E117" s="24">
        <v>2.34</v>
      </c>
      <c r="F117" s="25">
        <f>E117*1210000</f>
        <v>2831400</v>
      </c>
      <c r="G117" s="26">
        <f>(E117+I117)*40%</f>
        <v>0.93599999999999994</v>
      </c>
      <c r="H117" s="27">
        <f>G117*1210000</f>
        <v>1132560</v>
      </c>
      <c r="I117" s="28"/>
      <c r="J117" s="25">
        <f>I117*1210000</f>
        <v>0</v>
      </c>
      <c r="K117" s="29">
        <v>0.2</v>
      </c>
      <c r="L117" s="25">
        <f>K117*1210000</f>
        <v>242000</v>
      </c>
      <c r="M117" s="29"/>
      <c r="N117" s="25">
        <f>M117*1210000</f>
        <v>0</v>
      </c>
      <c r="O117" s="25"/>
      <c r="P117" s="25">
        <f>O117*1210000</f>
        <v>0</v>
      </c>
      <c r="Q117" s="29"/>
      <c r="R117" s="30">
        <f>Q117*1210000</f>
        <v>0</v>
      </c>
      <c r="S117" s="30"/>
      <c r="T117" s="25">
        <f>R117+N117+L117+J117+H117+F117+S117+P117</f>
        <v>4205960</v>
      </c>
      <c r="U117" s="25">
        <f>(E117+I117)*1210000*1%</f>
        <v>28314</v>
      </c>
      <c r="V117" s="25">
        <f>(E117+I117)*1210000*1.5%</f>
        <v>42471</v>
      </c>
      <c r="W117" s="25">
        <f>(E117+I117)*1210000*8%</f>
        <v>226512</v>
      </c>
      <c r="X117" s="25">
        <f>T117-U117-V117-W117</f>
        <v>3908663</v>
      </c>
    </row>
    <row r="118" spans="1:25" ht="44.25" customHeight="1" x14ac:dyDescent="0.25">
      <c r="A118" s="100">
        <v>4</v>
      </c>
      <c r="B118" s="101" t="s">
        <v>97</v>
      </c>
      <c r="C118" s="102" t="s">
        <v>76</v>
      </c>
      <c r="D118" s="103" t="s">
        <v>90</v>
      </c>
      <c r="E118" s="104">
        <v>2.0099999999999998</v>
      </c>
      <c r="F118" s="105">
        <f>E118*1210000</f>
        <v>2432099.9999999995</v>
      </c>
      <c r="G118" s="106">
        <f>(E118+I118)*40%</f>
        <v>0.80399999999999994</v>
      </c>
      <c r="H118" s="107">
        <f>G118*1210000</f>
        <v>972839.99999999988</v>
      </c>
      <c r="I118" s="108"/>
      <c r="J118" s="105">
        <f>I118*1210000</f>
        <v>0</v>
      </c>
      <c r="K118" s="109">
        <v>0.2</v>
      </c>
      <c r="L118" s="105">
        <f>K118*1210000</f>
        <v>242000</v>
      </c>
      <c r="M118" s="110">
        <v>0.2</v>
      </c>
      <c r="N118" s="105">
        <f>M118*1210000</f>
        <v>242000</v>
      </c>
      <c r="O118" s="105"/>
      <c r="P118" s="105">
        <f>O118*1210000</f>
        <v>0</v>
      </c>
      <c r="Q118" s="110"/>
      <c r="R118" s="105">
        <f>Q118*1210000</f>
        <v>0</v>
      </c>
      <c r="S118" s="105">
        <v>-596640</v>
      </c>
      <c r="T118" s="105">
        <f>R118+N118+L118+J118+H118+F118+S118+P118</f>
        <v>3292299.9999999995</v>
      </c>
      <c r="U118" s="105">
        <f>(E118+I118)*1210000*1%</f>
        <v>24320.999999999996</v>
      </c>
      <c r="V118" s="105">
        <f>(E118+I118)*1210000*1.5%</f>
        <v>36481.499999999993</v>
      </c>
      <c r="W118" s="105">
        <f>(E118+I118)*1210000*8%</f>
        <v>194567.99999999997</v>
      </c>
      <c r="X118" s="105">
        <f>T118-U118-V118-W118</f>
        <v>3036929.4999999995</v>
      </c>
      <c r="Y118" s="32">
        <v>-486419.99999999953</v>
      </c>
    </row>
  </sheetData>
  <autoFilter ref="A7:AA69"/>
  <mergeCells count="25">
    <mergeCell ref="F76:I76"/>
    <mergeCell ref="L76:Q76"/>
    <mergeCell ref="A65:C65"/>
    <mergeCell ref="B67:E67"/>
    <mergeCell ref="J67:M67"/>
    <mergeCell ref="T67:X67"/>
    <mergeCell ref="B74:E74"/>
    <mergeCell ref="J74:M74"/>
    <mergeCell ref="T74:X74"/>
    <mergeCell ref="M5:N5"/>
    <mergeCell ref="O5:P5"/>
    <mergeCell ref="Q5:R5"/>
    <mergeCell ref="S5:S6"/>
    <mergeCell ref="X5:X6"/>
    <mergeCell ref="Y5:Y6"/>
    <mergeCell ref="A1:D1"/>
    <mergeCell ref="A2:D2"/>
    <mergeCell ref="A3:X3"/>
    <mergeCell ref="A5:A6"/>
    <mergeCell ref="B5:B6"/>
    <mergeCell ref="C5:C6"/>
    <mergeCell ref="D5:D6"/>
    <mergeCell ref="G5:H5"/>
    <mergeCell ref="I5:J5"/>
    <mergeCell ref="K5:L5"/>
  </mergeCells>
  <dataValidations count="1">
    <dataValidation type="decimal" allowBlank="1" showInputMessage="1" showErrorMessage="1" sqref="E46 E29 E51 E116 E42 E13:E16 E55:E59 E8">
      <formula1>1</formula1>
      <formula2>7</formula2>
    </dataValidation>
  </dataValidations>
  <pageMargins left="0.2" right="0.2" top="0.23" bottom="0.41" header="0.2" footer="0.21"/>
  <pageSetup paperSize="9" scale="60" orientation="landscape" verticalDpi="200" r:id="rId1"/>
  <headerFooter alignWithMargins="0">
    <oddFooter>Page &amp;P</oddFoot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T10</vt:lpstr>
      <vt:lpstr>'T10'!Print_Titles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Windows User</cp:lastModifiedBy>
  <dcterms:created xsi:type="dcterms:W3CDTF">2017-10-09T04:11:23Z</dcterms:created>
  <dcterms:modified xsi:type="dcterms:W3CDTF">2017-10-09T04:12:10Z</dcterms:modified>
</cp:coreProperties>
</file>